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Amministrazione/CONSORZIO LaMMa/Consorzio 2023/BILANCIO CONSUNTIVO 2023/BILANCIO CONSUNTIVO 2023/"/>
    </mc:Choice>
  </mc:AlternateContent>
  <xr:revisionPtr revIDLastSave="0" documentId="13_ncr:1_{E854C609-DD1D-0649-AEB1-05C1D66981B0}" xr6:coauthVersionLast="47" xr6:coauthVersionMax="47" xr10:uidLastSave="{00000000-0000-0000-0000-000000000000}"/>
  <bookViews>
    <workbookView xWindow="5060" yWindow="5100" windowWidth="35380" windowHeight="19020" tabRatio="868" firstSheet="4" activeTab="6" xr2:uid="{00000000-000D-0000-FFFF-FFFF00000000}"/>
  </bookViews>
  <sheets>
    <sheet name="dettagli crediti IRES e IRAP" sheetId="28" r:id="rId1"/>
    <sheet name="dettagli SP - debiti" sheetId="20" r:id="rId2"/>
    <sheet name="Tabellari-NUOVI-COSTIREALI" sheetId="34" r:id="rId3"/>
    <sheet name="ORDINARIO 2023" sheetId="33" r:id="rId4"/>
    <sheet name="conti relazione au" sheetId="2" r:id="rId5"/>
    <sheet name="RICLASSIFIC. CIVILIST." sheetId="5" r:id="rId6"/>
    <sheet name="RICLASSIFIC. CIVILIST. (2)" sheetId="35" r:id="rId7"/>
    <sheet name="INVESTIMENTI " sheetId="24" r:id="rId8"/>
    <sheet name="PERSONALE-MEF " sheetId="6" r:id="rId9"/>
    <sheet name="Dettagli NI" sheetId="7" r:id="rId10"/>
    <sheet name="Dettaglio FONDI" sheetId="15" r:id="rId11"/>
    <sheet name="Dettaglio Risconti" sheetId="13" r:id="rId12"/>
    <sheet name="Straordinario_2023" sheetId="31" r:id="rId13"/>
    <sheet name="Dettaglio contributi c-capitale" sheetId="14" r:id="rId14"/>
    <sheet name="Attività c-terzi" sheetId="10" r:id="rId15"/>
    <sheet name="STRAORDINARIO dettaglio" sheetId="9" r:id="rId16"/>
    <sheet name="Dettaglio crediti" sheetId="11" r:id="rId17"/>
    <sheet name="Dett. progetti EU -CRED-DEB-RIC" sheetId="12" r:id="rId18"/>
  </sheets>
  <externalReferences>
    <externalReference r:id="rId19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2" i="14" l="1"/>
  <c r="K347" i="14" l="1"/>
  <c r="K348" i="14" l="1"/>
  <c r="L55" i="31"/>
  <c r="L60" i="31" s="1"/>
  <c r="L56" i="31"/>
  <c r="C56" i="34"/>
  <c r="C55" i="34"/>
  <c r="N9" i="15" l="1"/>
  <c r="C66" i="34"/>
  <c r="C67" i="34"/>
  <c r="C65" i="34"/>
  <c r="B64" i="34"/>
  <c r="D43" i="34" l="1"/>
  <c r="E30" i="34"/>
  <c r="B25" i="34"/>
  <c r="F61" i="34"/>
  <c r="B16" i="34"/>
  <c r="C16" i="34"/>
  <c r="D16" i="34"/>
  <c r="E16" i="34"/>
  <c r="F16" i="34"/>
  <c r="I119" i="35"/>
  <c r="J119" i="35"/>
  <c r="K119" i="35"/>
  <c r="L119" i="35"/>
  <c r="H119" i="35"/>
  <c r="D107" i="35"/>
  <c r="I507" i="14"/>
  <c r="J507" i="14"/>
  <c r="K507" i="14"/>
  <c r="H507" i="14"/>
  <c r="D258" i="13"/>
  <c r="B82" i="35"/>
  <c r="E250" i="13"/>
  <c r="K96" i="35"/>
  <c r="K95" i="35"/>
  <c r="K94" i="35"/>
  <c r="I91" i="35"/>
  <c r="H91" i="35"/>
  <c r="J90" i="35"/>
  <c r="J89" i="35"/>
  <c r="J88" i="35"/>
  <c r="J87" i="35"/>
  <c r="J86" i="35"/>
  <c r="J85" i="35"/>
  <c r="J91" i="35" s="1"/>
  <c r="D80" i="35"/>
  <c r="C77" i="35"/>
  <c r="B77" i="35"/>
  <c r="D77" i="35" s="1"/>
  <c r="C76" i="35"/>
  <c r="D76" i="35" s="1"/>
  <c r="B76" i="35"/>
  <c r="D75" i="35"/>
  <c r="B74" i="35"/>
  <c r="D74" i="35" s="1"/>
  <c r="D73" i="35"/>
  <c r="C72" i="35"/>
  <c r="B72" i="35"/>
  <c r="D72" i="35" s="1"/>
  <c r="D71" i="35"/>
  <c r="C70" i="35"/>
  <c r="B69" i="35"/>
  <c r="D69" i="35" s="1"/>
  <c r="C68" i="35"/>
  <c r="D68" i="35" s="1"/>
  <c r="B68" i="35"/>
  <c r="D67" i="35"/>
  <c r="C64" i="35"/>
  <c r="B64" i="35"/>
  <c r="D64" i="35" s="1"/>
  <c r="D63" i="35"/>
  <c r="B63" i="35"/>
  <c r="D62" i="35"/>
  <c r="D61" i="35"/>
  <c r="C58" i="35"/>
  <c r="F62" i="35" s="1"/>
  <c r="D56" i="35"/>
  <c r="D55" i="35"/>
  <c r="D53" i="35"/>
  <c r="J51" i="35"/>
  <c r="J50" i="35"/>
  <c r="J48" i="35"/>
  <c r="J47" i="35"/>
  <c r="I46" i="35"/>
  <c r="H46" i="35"/>
  <c r="J46" i="35" s="1"/>
  <c r="D46" i="35"/>
  <c r="J45" i="35"/>
  <c r="J44" i="35"/>
  <c r="M41" i="35"/>
  <c r="C41" i="35"/>
  <c r="C43" i="35" s="1"/>
  <c r="C48" i="35" s="1"/>
  <c r="B41" i="35"/>
  <c r="D41" i="35" s="1"/>
  <c r="D40" i="35"/>
  <c r="D39" i="35"/>
  <c r="I38" i="35"/>
  <c r="J37" i="35"/>
  <c r="J36" i="35"/>
  <c r="C36" i="35"/>
  <c r="J35" i="35"/>
  <c r="C35" i="35"/>
  <c r="J34" i="35"/>
  <c r="B34" i="35"/>
  <c r="B35" i="35" s="1"/>
  <c r="D35" i="35" s="1"/>
  <c r="J33" i="35"/>
  <c r="C33" i="35"/>
  <c r="D33" i="35" s="1"/>
  <c r="B33" i="35"/>
  <c r="J32" i="35"/>
  <c r="D32" i="35"/>
  <c r="H31" i="35"/>
  <c r="J31" i="35" s="1"/>
  <c r="C31" i="35"/>
  <c r="B31" i="35"/>
  <c r="D31" i="35" s="1"/>
  <c r="J30" i="35"/>
  <c r="D30" i="35"/>
  <c r="C29" i="35"/>
  <c r="J28" i="35"/>
  <c r="B28" i="35"/>
  <c r="B29" i="35" s="1"/>
  <c r="D29" i="35" s="1"/>
  <c r="J27" i="35"/>
  <c r="D27" i="35"/>
  <c r="C27" i="35"/>
  <c r="B27" i="35"/>
  <c r="H26" i="35"/>
  <c r="M38" i="35" s="1"/>
  <c r="M42" i="35" s="1"/>
  <c r="D26" i="35"/>
  <c r="J25" i="35"/>
  <c r="J24" i="35"/>
  <c r="J23" i="35"/>
  <c r="H22" i="35"/>
  <c r="J22" i="35" s="1"/>
  <c r="J21" i="35"/>
  <c r="C20" i="35"/>
  <c r="B20" i="35"/>
  <c r="D20" i="35" s="1"/>
  <c r="J19" i="35"/>
  <c r="D18" i="35"/>
  <c r="C18" i="35"/>
  <c r="B18" i="35"/>
  <c r="C17" i="35"/>
  <c r="B17" i="35"/>
  <c r="D17" i="35" s="1"/>
  <c r="D16" i="35"/>
  <c r="I15" i="35"/>
  <c r="I40" i="35" s="1"/>
  <c r="D15" i="35"/>
  <c r="J14" i="35"/>
  <c r="D14" i="35"/>
  <c r="J13" i="35"/>
  <c r="D10" i="35"/>
  <c r="C10" i="35"/>
  <c r="B10" i="35"/>
  <c r="D9" i="35"/>
  <c r="J8" i="35"/>
  <c r="D8" i="35"/>
  <c r="H7" i="35"/>
  <c r="H15" i="35" s="1"/>
  <c r="D7" i="35"/>
  <c r="J6" i="35"/>
  <c r="D6" i="35"/>
  <c r="J5" i="35"/>
  <c r="E311" i="13"/>
  <c r="C311" i="13"/>
  <c r="F231" i="13"/>
  <c r="F65" i="35" l="1"/>
  <c r="I49" i="35"/>
  <c r="I52" i="35" s="1"/>
  <c r="C84" i="35"/>
  <c r="J15" i="35"/>
  <c r="D28" i="35"/>
  <c r="B36" i="35"/>
  <c r="H38" i="35"/>
  <c r="J38" i="35" s="1"/>
  <c r="C82" i="35"/>
  <c r="J7" i="35"/>
  <c r="J26" i="35"/>
  <c r="B70" i="35"/>
  <c r="D70" i="35" s="1"/>
  <c r="D34" i="35"/>
  <c r="C303" i="14"/>
  <c r="B43" i="35" l="1"/>
  <c r="D36" i="35"/>
  <c r="H40" i="35"/>
  <c r="G14" i="15"/>
  <c r="G21" i="15" s="1"/>
  <c r="F64" i="5"/>
  <c r="F61" i="5"/>
  <c r="H49" i="35" l="1"/>
  <c r="J40" i="35"/>
  <c r="D43" i="35"/>
  <c r="B48" i="35"/>
  <c r="P15" i="2"/>
  <c r="P16" i="2"/>
  <c r="P17" i="2"/>
  <c r="P18" i="2"/>
  <c r="P19" i="2"/>
  <c r="P20" i="2"/>
  <c r="P21" i="2"/>
  <c r="P22" i="2"/>
  <c r="P23" i="2"/>
  <c r="P24" i="2"/>
  <c r="P25" i="2"/>
  <c r="P26" i="2"/>
  <c r="P14" i="2"/>
  <c r="D77" i="5"/>
  <c r="D48" i="35" l="1"/>
  <c r="H52" i="35"/>
  <c r="J49" i="35"/>
  <c r="F64" i="35"/>
  <c r="F15" i="24"/>
  <c r="D15" i="24"/>
  <c r="B78" i="2"/>
  <c r="R9" i="2"/>
  <c r="O9" i="2"/>
  <c r="G6" i="24"/>
  <c r="E6" i="24"/>
  <c r="B57" i="35" l="1"/>
  <c r="J52" i="35"/>
  <c r="G14" i="24"/>
  <c r="G13" i="24"/>
  <c r="G5" i="24"/>
  <c r="E5" i="24"/>
  <c r="B58" i="35" l="1"/>
  <c r="D57" i="35"/>
  <c r="I22" i="9"/>
  <c r="F22" i="9"/>
  <c r="E22" i="9"/>
  <c r="E66" i="9"/>
  <c r="I66" i="9" s="1"/>
  <c r="C62" i="9"/>
  <c r="E62" i="9"/>
  <c r="F62" i="9"/>
  <c r="D64" i="9"/>
  <c r="I64" i="9" s="1"/>
  <c r="E64" i="9"/>
  <c r="F64" i="9"/>
  <c r="G64" i="9"/>
  <c r="F60" i="9"/>
  <c r="E60" i="9"/>
  <c r="D70" i="9"/>
  <c r="E70" i="9"/>
  <c r="F70" i="9"/>
  <c r="F72" i="9"/>
  <c r="I72" i="9" s="1"/>
  <c r="G76" i="9"/>
  <c r="F68" i="9"/>
  <c r="E68" i="9"/>
  <c r="F58" i="9"/>
  <c r="E58" i="9"/>
  <c r="G56" i="9"/>
  <c r="G54" i="9"/>
  <c r="G52" i="9"/>
  <c r="G50" i="9"/>
  <c r="G48" i="9"/>
  <c r="G46" i="9"/>
  <c r="G44" i="9"/>
  <c r="G42" i="9"/>
  <c r="G38" i="9"/>
  <c r="G36" i="9"/>
  <c r="G34" i="9"/>
  <c r="G32" i="9"/>
  <c r="G30" i="9"/>
  <c r="G28" i="9"/>
  <c r="G26" i="9"/>
  <c r="G40" i="9"/>
  <c r="G74" i="9"/>
  <c r="G24" i="9"/>
  <c r="D24" i="9"/>
  <c r="F24" i="9"/>
  <c r="E24" i="9"/>
  <c r="C24" i="9"/>
  <c r="F20" i="9"/>
  <c r="G18" i="9"/>
  <c r="F18" i="9"/>
  <c r="E18" i="9"/>
  <c r="C18" i="9"/>
  <c r="G16" i="9"/>
  <c r="G14" i="9"/>
  <c r="G12" i="9"/>
  <c r="G10" i="9"/>
  <c r="G8" i="9"/>
  <c r="G6" i="9"/>
  <c r="G4" i="9"/>
  <c r="D10" i="6"/>
  <c r="D7" i="6"/>
  <c r="D5" i="6"/>
  <c r="E10" i="6"/>
  <c r="D50" i="6"/>
  <c r="D53" i="6"/>
  <c r="D52" i="6"/>
  <c r="D35" i="6"/>
  <c r="B63" i="5"/>
  <c r="D34" i="6"/>
  <c r="D58" i="35" l="1"/>
  <c r="F61" i="35"/>
  <c r="I62" i="9"/>
  <c r="I60" i="9"/>
  <c r="I70" i="9"/>
  <c r="D24" i="6"/>
  <c r="F71" i="2"/>
  <c r="F72" i="2"/>
  <c r="F73" i="2"/>
  <c r="F74" i="2"/>
  <c r="F75" i="2"/>
  <c r="F76" i="2"/>
  <c r="F77" i="2"/>
  <c r="F70" i="2"/>
  <c r="D71" i="2"/>
  <c r="D72" i="2"/>
  <c r="D73" i="2"/>
  <c r="D74" i="2"/>
  <c r="D75" i="2"/>
  <c r="D76" i="2"/>
  <c r="D77" i="2"/>
  <c r="D70" i="2"/>
  <c r="B76" i="2"/>
  <c r="D82" i="35" l="1"/>
  <c r="B84" i="35"/>
  <c r="C75" i="2"/>
  <c r="E75" i="2"/>
  <c r="M99" i="2"/>
  <c r="O99" i="2"/>
  <c r="L99" i="2"/>
  <c r="P98" i="2"/>
  <c r="N98" i="2"/>
  <c r="P97" i="2"/>
  <c r="N97" i="2"/>
  <c r="P105" i="2"/>
  <c r="N105" i="2"/>
  <c r="P89" i="2"/>
  <c r="P90" i="2"/>
  <c r="P99" i="2" s="1"/>
  <c r="P91" i="2"/>
  <c r="P92" i="2"/>
  <c r="P93" i="2"/>
  <c r="P94" i="2"/>
  <c r="P95" i="2"/>
  <c r="P96" i="2"/>
  <c r="N89" i="2"/>
  <c r="N99" i="2" s="1"/>
  <c r="N90" i="2"/>
  <c r="N91" i="2"/>
  <c r="N92" i="2"/>
  <c r="N93" i="2"/>
  <c r="N94" i="2"/>
  <c r="N95" i="2"/>
  <c r="N96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71" i="2"/>
  <c r="P73" i="2"/>
  <c r="P75" i="2"/>
  <c r="P76" i="2"/>
  <c r="P77" i="2"/>
  <c r="P78" i="2"/>
  <c r="P79" i="2"/>
  <c r="P80" i="2"/>
  <c r="P81" i="2"/>
  <c r="P82" i="2"/>
  <c r="P83" i="2"/>
  <c r="P84" i="2"/>
  <c r="P72" i="2"/>
  <c r="P71" i="2"/>
  <c r="B81" i="34"/>
  <c r="F81" i="34"/>
  <c r="C35" i="33"/>
  <c r="O74" i="2"/>
  <c r="P74" i="2" s="1"/>
  <c r="M68" i="2"/>
  <c r="O68" i="2"/>
  <c r="L68" i="2"/>
  <c r="P67" i="2"/>
  <c r="N67" i="2"/>
  <c r="N66" i="2"/>
  <c r="P66" i="2"/>
  <c r="O27" i="2" l="1"/>
  <c r="L27" i="2"/>
  <c r="M27" i="2"/>
  <c r="N26" i="2"/>
  <c r="N25" i="2"/>
  <c r="M7" i="2"/>
  <c r="M6" i="2"/>
  <c r="M5" i="2"/>
  <c r="M4" i="2"/>
  <c r="B51" i="2"/>
  <c r="B18" i="2"/>
  <c r="F16" i="2"/>
  <c r="F24" i="2" s="1"/>
  <c r="D111" i="34"/>
  <c r="C111" i="34"/>
  <c r="D109" i="34"/>
  <c r="C109" i="34"/>
  <c r="B109" i="34"/>
  <c r="E108" i="34"/>
  <c r="D108" i="34"/>
  <c r="C108" i="34"/>
  <c r="B108" i="34"/>
  <c r="E106" i="34"/>
  <c r="D106" i="34"/>
  <c r="C106" i="34"/>
  <c r="B106" i="34"/>
  <c r="E103" i="34"/>
  <c r="E111" i="34" s="1"/>
  <c r="D103" i="34"/>
  <c r="C103" i="34"/>
  <c r="B103" i="34"/>
  <c r="B111" i="34" s="1"/>
  <c r="D93" i="34"/>
  <c r="E91" i="34"/>
  <c r="F91" i="34" s="1"/>
  <c r="D91" i="34"/>
  <c r="C91" i="34"/>
  <c r="E90" i="34"/>
  <c r="D90" i="34"/>
  <c r="C90" i="34"/>
  <c r="F90" i="34" s="1"/>
  <c r="E89" i="34"/>
  <c r="F89" i="34" s="1"/>
  <c r="D89" i="34"/>
  <c r="C89" i="34"/>
  <c r="D88" i="34"/>
  <c r="C88" i="34"/>
  <c r="C84" i="34"/>
  <c r="C82" i="34"/>
  <c r="F74" i="34"/>
  <c r="I74" i="34" s="1"/>
  <c r="J79" i="34" s="1"/>
  <c r="F71" i="34"/>
  <c r="I70" i="34"/>
  <c r="F70" i="34"/>
  <c r="G70" i="34" s="1"/>
  <c r="I69" i="34"/>
  <c r="H69" i="34"/>
  <c r="G69" i="34"/>
  <c r="I68" i="34"/>
  <c r="H68" i="34"/>
  <c r="G68" i="34"/>
  <c r="I67" i="34"/>
  <c r="H67" i="34"/>
  <c r="G67" i="34"/>
  <c r="I66" i="34"/>
  <c r="H66" i="34"/>
  <c r="G66" i="34"/>
  <c r="I65" i="34"/>
  <c r="I71" i="34" s="1"/>
  <c r="H65" i="34"/>
  <c r="G65" i="34"/>
  <c r="C49" i="34"/>
  <c r="C52" i="34" s="1"/>
  <c r="B49" i="34"/>
  <c r="B52" i="34" s="1"/>
  <c r="C48" i="34"/>
  <c r="B48" i="34"/>
  <c r="C47" i="34"/>
  <c r="C46" i="34"/>
  <c r="C45" i="34"/>
  <c r="C44" i="34"/>
  <c r="F43" i="34"/>
  <c r="F49" i="34" s="1"/>
  <c r="C43" i="34"/>
  <c r="E38" i="34"/>
  <c r="E37" i="34"/>
  <c r="E36" i="34"/>
  <c r="G35" i="34"/>
  <c r="E35" i="34"/>
  <c r="G34" i="34"/>
  <c r="G37" i="34" s="1"/>
  <c r="F34" i="34"/>
  <c r="F36" i="34" s="1"/>
  <c r="D32" i="34"/>
  <c r="C32" i="34"/>
  <c r="D31" i="34"/>
  <c r="C31" i="34"/>
  <c r="D30" i="34"/>
  <c r="C30" i="34"/>
  <c r="B29" i="34"/>
  <c r="D29" i="34" s="1"/>
  <c r="H28" i="34"/>
  <c r="H34" i="34" s="1"/>
  <c r="G28" i="34"/>
  <c r="F28" i="34"/>
  <c r="D28" i="34"/>
  <c r="C28" i="34"/>
  <c r="F14" i="34"/>
  <c r="E14" i="34"/>
  <c r="F11" i="34"/>
  <c r="E11" i="34"/>
  <c r="E12" i="34" s="1"/>
  <c r="D11" i="34"/>
  <c r="D12" i="34" s="1"/>
  <c r="F10" i="34"/>
  <c r="E10" i="34"/>
  <c r="D10" i="34"/>
  <c r="C10" i="34"/>
  <c r="B10" i="34"/>
  <c r="B11" i="34" s="1"/>
  <c r="C7" i="34"/>
  <c r="C11" i="34" s="1"/>
  <c r="M56" i="31"/>
  <c r="M32" i="31"/>
  <c r="L30" i="31"/>
  <c r="I30" i="31"/>
  <c r="K29" i="31"/>
  <c r="J29" i="31"/>
  <c r="G29" i="31"/>
  <c r="F29" i="31"/>
  <c r="K28" i="31"/>
  <c r="J28" i="31"/>
  <c r="G28" i="31"/>
  <c r="F28" i="31"/>
  <c r="K27" i="31"/>
  <c r="J27" i="31"/>
  <c r="G27" i="31"/>
  <c r="F27" i="31"/>
  <c r="K26" i="31"/>
  <c r="J26" i="31"/>
  <c r="G26" i="31"/>
  <c r="F26" i="31"/>
  <c r="K25" i="31"/>
  <c r="J25" i="31"/>
  <c r="G25" i="31"/>
  <c r="F25" i="31"/>
  <c r="K24" i="31"/>
  <c r="J24" i="31"/>
  <c r="G24" i="31"/>
  <c r="F24" i="31"/>
  <c r="K23" i="31"/>
  <c r="J23" i="31"/>
  <c r="G23" i="31"/>
  <c r="F23" i="31"/>
  <c r="E23" i="31"/>
  <c r="D23" i="31"/>
  <c r="C23" i="31"/>
  <c r="K22" i="31"/>
  <c r="J22" i="31"/>
  <c r="G22" i="31"/>
  <c r="F22" i="31"/>
  <c r="E22" i="31"/>
  <c r="D22" i="31"/>
  <c r="C22" i="31"/>
  <c r="K21" i="31"/>
  <c r="J21" i="31"/>
  <c r="G21" i="31"/>
  <c r="F21" i="31"/>
  <c r="E21" i="31"/>
  <c r="D21" i="31"/>
  <c r="C21" i="31"/>
  <c r="K20" i="31"/>
  <c r="H20" i="31"/>
  <c r="J20" i="31" s="1"/>
  <c r="E20" i="31"/>
  <c r="D20" i="31"/>
  <c r="C20" i="31"/>
  <c r="K19" i="31"/>
  <c r="H19" i="31"/>
  <c r="J19" i="31" s="1"/>
  <c r="L19" i="31" s="1"/>
  <c r="F19" i="31"/>
  <c r="E19" i="31"/>
  <c r="D19" i="31"/>
  <c r="C19" i="31"/>
  <c r="K18" i="31"/>
  <c r="H18" i="31"/>
  <c r="J18" i="31" s="1"/>
  <c r="F18" i="31"/>
  <c r="E18" i="31"/>
  <c r="D18" i="31"/>
  <c r="C18" i="31"/>
  <c r="K17" i="31"/>
  <c r="L17" i="31" s="1"/>
  <c r="G17" i="31"/>
  <c r="F17" i="31"/>
  <c r="E17" i="31"/>
  <c r="D17" i="31"/>
  <c r="C17" i="31"/>
  <c r="K16" i="31"/>
  <c r="L16" i="31" s="1"/>
  <c r="G16" i="31"/>
  <c r="F16" i="31"/>
  <c r="K15" i="31"/>
  <c r="L15" i="31" s="1"/>
  <c r="G15" i="31"/>
  <c r="F15" i="31"/>
  <c r="E15" i="31"/>
  <c r="D15" i="31"/>
  <c r="K14" i="31"/>
  <c r="L14" i="31" s="1"/>
  <c r="E14" i="31"/>
  <c r="D14" i="31"/>
  <c r="C14" i="31"/>
  <c r="K13" i="31"/>
  <c r="L13" i="31" s="1"/>
  <c r="G13" i="31"/>
  <c r="F13" i="31"/>
  <c r="K12" i="31"/>
  <c r="L12" i="31" s="1"/>
  <c r="H12" i="31"/>
  <c r="F12" i="31"/>
  <c r="E12" i="31"/>
  <c r="D12" i="31"/>
  <c r="K11" i="31"/>
  <c r="J11" i="31"/>
  <c r="E11" i="31"/>
  <c r="D11" i="31"/>
  <c r="K10" i="31"/>
  <c r="H10" i="31"/>
  <c r="J10" i="31" s="1"/>
  <c r="F10" i="31"/>
  <c r="E10" i="31"/>
  <c r="D10" i="31"/>
  <c r="C10" i="31"/>
  <c r="K9" i="31"/>
  <c r="J9" i="31"/>
  <c r="H9" i="31"/>
  <c r="E9" i="31"/>
  <c r="D9" i="31"/>
  <c r="C9" i="31"/>
  <c r="K8" i="31"/>
  <c r="J8" i="31"/>
  <c r="H8" i="31"/>
  <c r="F8" i="31"/>
  <c r="E8" i="31"/>
  <c r="D8" i="31"/>
  <c r="C8" i="31"/>
  <c r="K7" i="31"/>
  <c r="J7" i="31"/>
  <c r="H7" i="31"/>
  <c r="E7" i="31"/>
  <c r="D7" i="31"/>
  <c r="C7" i="31"/>
  <c r="K6" i="31"/>
  <c r="L6" i="31" s="1"/>
  <c r="G6" i="31"/>
  <c r="F6" i="31"/>
  <c r="E6" i="31"/>
  <c r="D6" i="31"/>
  <c r="C6" i="31"/>
  <c r="K5" i="31"/>
  <c r="J5" i="31"/>
  <c r="H5" i="31"/>
  <c r="E5" i="31"/>
  <c r="D5" i="31"/>
  <c r="C5" i="31"/>
  <c r="K4" i="31"/>
  <c r="H4" i="31"/>
  <c r="E4" i="31"/>
  <c r="D4" i="31"/>
  <c r="C4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K3" i="31"/>
  <c r="G3" i="31"/>
  <c r="F3" i="31"/>
  <c r="E3" i="31"/>
  <c r="E31" i="31" s="1"/>
  <c r="D3" i="31"/>
  <c r="L5" i="31" l="1"/>
  <c r="I15" i="31"/>
  <c r="L7" i="31"/>
  <c r="I9" i="31"/>
  <c r="I12" i="31"/>
  <c r="I14" i="31"/>
  <c r="L21" i="31"/>
  <c r="J77" i="34"/>
  <c r="H71" i="34"/>
  <c r="E114" i="34"/>
  <c r="E112" i="34"/>
  <c r="E113" i="34"/>
  <c r="H35" i="34"/>
  <c r="H36" i="34"/>
  <c r="H38" i="34" s="1"/>
  <c r="H37" i="34"/>
  <c r="F52" i="34"/>
  <c r="F50" i="34"/>
  <c r="F53" i="34" s="1"/>
  <c r="F51" i="34"/>
  <c r="C14" i="34"/>
  <c r="C12" i="34"/>
  <c r="C15" i="34" s="1"/>
  <c r="C13" i="34"/>
  <c r="F15" i="34"/>
  <c r="G71" i="34"/>
  <c r="B14" i="34"/>
  <c r="B12" i="34"/>
  <c r="B15" i="34" s="1"/>
  <c r="B13" i="34"/>
  <c r="F75" i="34"/>
  <c r="B112" i="34"/>
  <c r="B114" i="34" s="1"/>
  <c r="B113" i="34"/>
  <c r="F12" i="34"/>
  <c r="D14" i="34"/>
  <c r="B21" i="34" s="1"/>
  <c r="B18" i="34"/>
  <c r="F35" i="34"/>
  <c r="F38" i="34" s="1"/>
  <c r="G36" i="34"/>
  <c r="G38" i="34" s="1"/>
  <c r="H70" i="34"/>
  <c r="B51" i="34"/>
  <c r="B53" i="34"/>
  <c r="C113" i="34"/>
  <c r="G43" i="34"/>
  <c r="G49" i="34" s="1"/>
  <c r="C51" i="34"/>
  <c r="C53" i="34"/>
  <c r="G74" i="34"/>
  <c r="J74" i="34" s="1"/>
  <c r="D113" i="34"/>
  <c r="D13" i="34"/>
  <c r="C29" i="34"/>
  <c r="B33" i="34"/>
  <c r="H74" i="34"/>
  <c r="C93" i="34"/>
  <c r="F13" i="34"/>
  <c r="B20" i="34" s="1"/>
  <c r="D15" i="34"/>
  <c r="B50" i="34"/>
  <c r="E88" i="34"/>
  <c r="E93" i="34" s="1"/>
  <c r="C112" i="34"/>
  <c r="C114" i="34" s="1"/>
  <c r="E13" i="34"/>
  <c r="F73" i="34"/>
  <c r="E15" i="34"/>
  <c r="B34" i="34"/>
  <c r="F37" i="34"/>
  <c r="C50" i="34"/>
  <c r="D112" i="34"/>
  <c r="D114" i="34" s="1"/>
  <c r="F72" i="34"/>
  <c r="I23" i="31"/>
  <c r="I25" i="31"/>
  <c r="I27" i="31"/>
  <c r="I29" i="31"/>
  <c r="L11" i="31"/>
  <c r="I20" i="31"/>
  <c r="L23" i="31"/>
  <c r="L25" i="31"/>
  <c r="L27" i="31"/>
  <c r="M27" i="31" s="1"/>
  <c r="L29" i="31"/>
  <c r="I19" i="31"/>
  <c r="L22" i="31"/>
  <c r="L10" i="31"/>
  <c r="L20" i="31"/>
  <c r="M20" i="31" s="1"/>
  <c r="D31" i="31"/>
  <c r="L9" i="31"/>
  <c r="M9" i="31" s="1"/>
  <c r="I11" i="31"/>
  <c r="M5" i="31"/>
  <c r="L18" i="31"/>
  <c r="I21" i="31"/>
  <c r="I4" i="31"/>
  <c r="M15" i="31"/>
  <c r="I17" i="31"/>
  <c r="G31" i="31"/>
  <c r="L53" i="31"/>
  <c r="I7" i="31"/>
  <c r="M7" i="31" s="1"/>
  <c r="I16" i="31"/>
  <c r="M16" i="31" s="1"/>
  <c r="I3" i="31"/>
  <c r="L54" i="31"/>
  <c r="N54" i="31" s="1"/>
  <c r="I8" i="31"/>
  <c r="M12" i="31"/>
  <c r="I18" i="31"/>
  <c r="I24" i="31"/>
  <c r="I26" i="31"/>
  <c r="I28" i="31"/>
  <c r="M30" i="31"/>
  <c r="I6" i="31"/>
  <c r="M6" i="31" s="1"/>
  <c r="I10" i="31"/>
  <c r="F31" i="31"/>
  <c r="I22" i="31"/>
  <c r="M22" i="31" s="1"/>
  <c r="L24" i="31"/>
  <c r="M24" i="31" s="1"/>
  <c r="L26" i="31"/>
  <c r="M26" i="31" s="1"/>
  <c r="L28" i="31"/>
  <c r="M28" i="31" s="1"/>
  <c r="C31" i="31"/>
  <c r="I5" i="31"/>
  <c r="M17" i="31"/>
  <c r="M14" i="31"/>
  <c r="M55" i="31"/>
  <c r="M19" i="31"/>
  <c r="I13" i="31"/>
  <c r="M13" i="31" s="1"/>
  <c r="H31" i="31"/>
  <c r="H65" i="31" s="1"/>
  <c r="M53" i="31"/>
  <c r="N56" i="31"/>
  <c r="J31" i="31"/>
  <c r="K31" i="31"/>
  <c r="L4" i="31"/>
  <c r="L3" i="31"/>
  <c r="L8" i="31"/>
  <c r="M18" i="31" l="1"/>
  <c r="L31" i="31"/>
  <c r="M10" i="31"/>
  <c r="M11" i="31"/>
  <c r="M21" i="31"/>
  <c r="M29" i="31"/>
  <c r="M60" i="31"/>
  <c r="M65" i="31" s="1"/>
  <c r="M25" i="31"/>
  <c r="M23" i="31"/>
  <c r="M8" i="31"/>
  <c r="B35" i="34"/>
  <c r="B36" i="34"/>
  <c r="B37" i="34"/>
  <c r="B38" i="34"/>
  <c r="J71" i="34"/>
  <c r="F78" i="34" s="1"/>
  <c r="G75" i="34"/>
  <c r="I73" i="34"/>
  <c r="H73" i="34"/>
  <c r="G73" i="34"/>
  <c r="I72" i="34"/>
  <c r="H72" i="34"/>
  <c r="H75" i="34" s="1"/>
  <c r="G72" i="34"/>
  <c r="J72" i="34" s="1"/>
  <c r="F79" i="34" s="1"/>
  <c r="G51" i="34"/>
  <c r="G53" i="34" s="1"/>
  <c r="D78" i="34" s="1"/>
  <c r="G52" i="34"/>
  <c r="D81" i="34" s="1"/>
  <c r="D95" i="34" s="1"/>
  <c r="G50" i="34"/>
  <c r="D33" i="34"/>
  <c r="D34" i="34" s="1"/>
  <c r="C33" i="34"/>
  <c r="C34" i="34" s="1"/>
  <c r="F88" i="34"/>
  <c r="F93" i="34" s="1"/>
  <c r="B19" i="34"/>
  <c r="B22" i="34" s="1"/>
  <c r="N55" i="31"/>
  <c r="M4" i="31"/>
  <c r="N53" i="31"/>
  <c r="I31" i="31"/>
  <c r="M3" i="31"/>
  <c r="M31" i="31" l="1"/>
  <c r="N60" i="31"/>
  <c r="N62" i="31" s="1"/>
  <c r="J78" i="34"/>
  <c r="I75" i="34"/>
  <c r="D79" i="34"/>
  <c r="C95" i="34" s="1"/>
  <c r="J73" i="34"/>
  <c r="F80" i="34" s="1"/>
  <c r="F82" i="34" s="1"/>
  <c r="C36" i="34"/>
  <c r="B58" i="34" s="1"/>
  <c r="B66" i="34" s="1"/>
  <c r="B80" i="34" s="1"/>
  <c r="E80" i="34" s="1"/>
  <c r="B56" i="34"/>
  <c r="C35" i="34"/>
  <c r="C37" i="34"/>
  <c r="D35" i="34"/>
  <c r="D37" i="34"/>
  <c r="D36" i="34"/>
  <c r="D38" i="34"/>
  <c r="B59" i="34" l="1"/>
  <c r="B67" i="34" s="1"/>
  <c r="E81" i="34" s="1"/>
  <c r="B57" i="34"/>
  <c r="B65" i="34" s="1"/>
  <c r="B79" i="34" s="1"/>
  <c r="C38" i="34"/>
  <c r="B60" i="34"/>
  <c r="D84" i="34"/>
  <c r="B68" i="34" l="1"/>
  <c r="B78" i="34"/>
  <c r="B75" i="34"/>
  <c r="E79" i="34"/>
  <c r="B84" i="34" l="1"/>
  <c r="E84" i="34" s="1"/>
  <c r="E78" i="34"/>
  <c r="H10" i="20" l="1"/>
  <c r="D26" i="28"/>
  <c r="D27" i="28" s="1"/>
  <c r="D15" i="28"/>
  <c r="O104" i="33"/>
  <c r="N104" i="33"/>
  <c r="P104" i="33" s="1"/>
  <c r="N103" i="33"/>
  <c r="N105" i="33" s="1"/>
  <c r="N102" i="33"/>
  <c r="N101" i="33"/>
  <c r="N100" i="33"/>
  <c r="C83" i="33"/>
  <c r="C82" i="33"/>
  <c r="E82" i="33" s="1"/>
  <c r="J78" i="33"/>
  <c r="J79" i="33" s="1"/>
  <c r="C77" i="33"/>
  <c r="C76" i="33"/>
  <c r="C80" i="33" s="1"/>
  <c r="E80" i="33" s="1"/>
  <c r="C72" i="33"/>
  <c r="E72" i="33" s="1"/>
  <c r="C69" i="33"/>
  <c r="J68" i="33"/>
  <c r="J67" i="33"/>
  <c r="C67" i="33"/>
  <c r="J66" i="33"/>
  <c r="C66" i="33"/>
  <c r="C70" i="33" s="1"/>
  <c r="E70" i="33" s="1"/>
  <c r="J65" i="33"/>
  <c r="E60" i="33"/>
  <c r="C55" i="33"/>
  <c r="H51" i="33"/>
  <c r="C52" i="33" s="1"/>
  <c r="C50" i="33"/>
  <c r="K45" i="33"/>
  <c r="M45" i="33" s="1"/>
  <c r="C45" i="33"/>
  <c r="E45" i="33" s="1"/>
  <c r="K44" i="33"/>
  <c r="M44" i="33" s="1"/>
  <c r="J44" i="33"/>
  <c r="I44" i="33"/>
  <c r="J43" i="33"/>
  <c r="I43" i="33"/>
  <c r="K43" i="33" s="1"/>
  <c r="M43" i="33" s="1"/>
  <c r="H42" i="33"/>
  <c r="J42" i="33" s="1"/>
  <c r="J41" i="33"/>
  <c r="I41" i="33"/>
  <c r="K41" i="33" s="1"/>
  <c r="L41" i="33" s="1"/>
  <c r="J40" i="33"/>
  <c r="I40" i="33"/>
  <c r="K40" i="33" s="1"/>
  <c r="M40" i="33" s="1"/>
  <c r="J39" i="33"/>
  <c r="C23" i="33" s="1"/>
  <c r="I39" i="33"/>
  <c r="C22" i="33" s="1"/>
  <c r="C38" i="33"/>
  <c r="C37" i="33"/>
  <c r="I35" i="33"/>
  <c r="I34" i="33"/>
  <c r="I33" i="33"/>
  <c r="I32" i="33"/>
  <c r="I31" i="33"/>
  <c r="I29" i="33"/>
  <c r="C24" i="33"/>
  <c r="C21" i="33"/>
  <c r="C20" i="33"/>
  <c r="C17" i="33"/>
  <c r="C27" i="33" s="1"/>
  <c r="J8" i="33"/>
  <c r="J9" i="33" s="1"/>
  <c r="C5" i="33"/>
  <c r="C4" i="33"/>
  <c r="C6" i="33" s="1"/>
  <c r="L67" i="33" l="1"/>
  <c r="I10" i="33"/>
  <c r="I14" i="33"/>
  <c r="I12" i="33"/>
  <c r="E27" i="33"/>
  <c r="C88" i="33"/>
  <c r="E6" i="33"/>
  <c r="Q104" i="33"/>
  <c r="K68" i="33"/>
  <c r="M68" i="33" s="1"/>
  <c r="K39" i="33"/>
  <c r="L39" i="33" s="1"/>
  <c r="L68" i="33"/>
  <c r="I42" i="33"/>
  <c r="K42" i="33" s="1"/>
  <c r="M42" i="33" s="1"/>
  <c r="K67" i="33"/>
  <c r="K66" i="33"/>
  <c r="L66" i="33" s="1"/>
  <c r="M66" i="33" s="1"/>
  <c r="I11" i="33" l="1"/>
  <c r="I13" i="33" s="1"/>
  <c r="C48" i="33"/>
  <c r="C58" i="33" s="1"/>
  <c r="M67" i="33"/>
  <c r="M70" i="33" s="1"/>
  <c r="E58" i="33" l="1"/>
  <c r="C86" i="33"/>
  <c r="C89" i="33" s="1"/>
  <c r="K95" i="5" l="1"/>
  <c r="K96" i="5"/>
  <c r="K94" i="5"/>
  <c r="E270" i="13" l="1"/>
  <c r="F270" i="13"/>
  <c r="G270" i="13"/>
  <c r="G265" i="13"/>
  <c r="G266" i="13"/>
  <c r="G267" i="13"/>
  <c r="G268" i="13"/>
  <c r="G269" i="13"/>
  <c r="G264" i="13"/>
  <c r="F258" i="13"/>
  <c r="I310" i="14"/>
  <c r="I311" i="14"/>
  <c r="J311" i="14"/>
  <c r="F244" i="13"/>
  <c r="H7" i="5"/>
  <c r="C250" i="13"/>
  <c r="D250" i="13"/>
  <c r="F250" i="13"/>
  <c r="F249" i="13"/>
  <c r="F245" i="13"/>
  <c r="F246" i="13"/>
  <c r="F247" i="13"/>
  <c r="F248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12" i="13"/>
  <c r="E241" i="13"/>
  <c r="N75" i="12" l="1"/>
  <c r="N74" i="12"/>
  <c r="K80" i="12"/>
  <c r="B69" i="5"/>
  <c r="H31" i="5"/>
  <c r="H46" i="5"/>
  <c r="J45" i="5"/>
  <c r="J44" i="5"/>
  <c r="O467" i="14"/>
  <c r="P467" i="14"/>
  <c r="Q467" i="14"/>
  <c r="N467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33" i="14"/>
  <c r="O425" i="14"/>
  <c r="P425" i="14"/>
  <c r="Q425" i="14"/>
  <c r="N425" i="14"/>
  <c r="R392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391" i="14"/>
  <c r="J86" i="5"/>
  <c r="I91" i="5"/>
  <c r="H91" i="5"/>
  <c r="J87" i="5"/>
  <c r="J88" i="5"/>
  <c r="J89" i="5"/>
  <c r="J90" i="5"/>
  <c r="J85" i="5"/>
  <c r="I467" i="14"/>
  <c r="J467" i="14"/>
  <c r="K467" i="14"/>
  <c r="H467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33" i="14"/>
  <c r="G320" i="14"/>
  <c r="H320" i="14"/>
  <c r="I320" i="14"/>
  <c r="J320" i="14"/>
  <c r="F320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391" i="14"/>
  <c r="I425" i="14"/>
  <c r="J425" i="14"/>
  <c r="K425" i="14"/>
  <c r="H425" i="14"/>
  <c r="G259" i="14"/>
  <c r="C146" i="14"/>
  <c r="J91" i="5" l="1"/>
  <c r="L425" i="14"/>
  <c r="B28" i="5" l="1"/>
  <c r="N73" i="12" l="1"/>
  <c r="B77" i="5"/>
  <c r="B41" i="5"/>
  <c r="H22" i="5"/>
  <c r="H26" i="5"/>
  <c r="B34" i="5" l="1"/>
  <c r="B36" i="5" s="1"/>
  <c r="B43" i="5" s="1"/>
  <c r="B64" i="5"/>
  <c r="E56" i="12"/>
  <c r="C104" i="12"/>
  <c r="F103" i="12" s="1"/>
  <c r="E55" i="12"/>
  <c r="B18" i="5"/>
  <c r="B17" i="5"/>
  <c r="E320" i="14" l="1"/>
  <c r="K343" i="14"/>
  <c r="C316" i="14"/>
  <c r="C314" i="14" s="1"/>
  <c r="J319" i="14"/>
  <c r="I319" i="14"/>
  <c r="H319" i="14"/>
  <c r="G319" i="14"/>
  <c r="F319" i="14"/>
  <c r="E319" i="14"/>
  <c r="C334" i="14"/>
  <c r="I334" i="14" s="1"/>
  <c r="I335" i="14" s="1"/>
  <c r="C54" i="10"/>
  <c r="C335" i="14" l="1"/>
  <c r="E334" i="14"/>
  <c r="F334" i="14"/>
  <c r="F335" i="14" s="1"/>
  <c r="G334" i="14"/>
  <c r="G335" i="14" s="1"/>
  <c r="H334" i="14"/>
  <c r="H335" i="14" s="1"/>
  <c r="F207" i="13"/>
  <c r="C63" i="10"/>
  <c r="C62" i="10"/>
  <c r="C58" i="10"/>
  <c r="E335" i="14" l="1"/>
  <c r="J334" i="14"/>
  <c r="J335" i="14" s="1"/>
  <c r="D8" i="15"/>
  <c r="L8" i="15"/>
  <c r="G8" i="15"/>
  <c r="H8" i="15"/>
  <c r="H19" i="15"/>
  <c r="H16" i="15"/>
  <c r="J35" i="5"/>
  <c r="C72" i="5"/>
  <c r="C18" i="5"/>
  <c r="C17" i="5"/>
  <c r="H7" i="15"/>
  <c r="H12" i="15"/>
  <c r="H6" i="15"/>
  <c r="C14" i="15"/>
  <c r="J8" i="5" l="1"/>
  <c r="D61" i="5"/>
  <c r="M85" i="2" l="1"/>
  <c r="O85" i="2"/>
  <c r="L85" i="2"/>
  <c r="C57" i="2"/>
  <c r="B57" i="2"/>
  <c r="C44" i="2"/>
  <c r="B44" i="2"/>
  <c r="D51" i="6"/>
  <c r="D49" i="6"/>
  <c r="D48" i="6"/>
  <c r="D47" i="6"/>
  <c r="D23" i="6"/>
  <c r="D21" i="6"/>
  <c r="D20" i="6"/>
  <c r="C51" i="2"/>
  <c r="D51" i="2" s="1"/>
  <c r="G51" i="2"/>
  <c r="H51" i="2" s="1"/>
  <c r="E78" i="2"/>
  <c r="C78" i="2"/>
  <c r="C40" i="2"/>
  <c r="B40" i="2"/>
  <c r="G40" i="2" s="1"/>
  <c r="H40" i="2" s="1"/>
  <c r="D26" i="6" l="1"/>
  <c r="D37" i="6" s="1"/>
  <c r="D57" i="2"/>
  <c r="E57" i="2" s="1"/>
  <c r="D44" i="2"/>
  <c r="E44" i="2" s="1"/>
  <c r="D40" i="2"/>
  <c r="E40" i="2" s="1"/>
  <c r="D78" i="2"/>
  <c r="E51" i="2"/>
  <c r="N85" i="2"/>
  <c r="G44" i="2"/>
  <c r="H44" i="2" s="1"/>
  <c r="G57" i="2"/>
  <c r="H57" i="2" s="1"/>
  <c r="P85" i="2"/>
  <c r="F78" i="2"/>
  <c r="C36" i="2"/>
  <c r="C35" i="2"/>
  <c r="B35" i="2"/>
  <c r="P59" i="2"/>
  <c r="N59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60" i="2"/>
  <c r="P61" i="2"/>
  <c r="P62" i="2"/>
  <c r="P63" i="2"/>
  <c r="P64" i="2"/>
  <c r="P65" i="2"/>
  <c r="P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60" i="2"/>
  <c r="N61" i="2"/>
  <c r="N62" i="2"/>
  <c r="N63" i="2"/>
  <c r="N64" i="2"/>
  <c r="N65" i="2"/>
  <c r="N33" i="2"/>
  <c r="C32" i="2"/>
  <c r="B32" i="2"/>
  <c r="G32" i="2" s="1"/>
  <c r="H32" i="2" s="1"/>
  <c r="N24" i="2"/>
  <c r="N15" i="2"/>
  <c r="N16" i="2"/>
  <c r="N17" i="2"/>
  <c r="N18" i="2"/>
  <c r="N19" i="2"/>
  <c r="N20" i="2"/>
  <c r="N21" i="2"/>
  <c r="N22" i="2"/>
  <c r="N23" i="2"/>
  <c r="N14" i="2"/>
  <c r="D39" i="6" l="1"/>
  <c r="D42" i="6"/>
  <c r="N68" i="2"/>
  <c r="P68" i="2"/>
  <c r="P27" i="2"/>
  <c r="N27" i="2"/>
  <c r="D35" i="2"/>
  <c r="E35" i="2" s="1"/>
  <c r="D32" i="2"/>
  <c r="E32" i="2" s="1"/>
  <c r="M9" i="2" l="1"/>
  <c r="L7" i="2"/>
  <c r="N7" i="2" s="1"/>
  <c r="L6" i="2"/>
  <c r="N6" i="2" s="1"/>
  <c r="O6" i="2" s="1"/>
  <c r="L5" i="2"/>
  <c r="Q5" i="2" s="1"/>
  <c r="R5" i="2" s="1"/>
  <c r="L4" i="2"/>
  <c r="Q4" i="2" s="1"/>
  <c r="P9" i="2"/>
  <c r="Q8" i="2"/>
  <c r="N8" i="2"/>
  <c r="C23" i="2"/>
  <c r="C22" i="2"/>
  <c r="C18" i="2"/>
  <c r="C17" i="2"/>
  <c r="C15" i="2"/>
  <c r="C14" i="2"/>
  <c r="B21" i="2"/>
  <c r="B19" i="2"/>
  <c r="B23" i="2"/>
  <c r="G23" i="2" s="1"/>
  <c r="H23" i="2" s="1"/>
  <c r="B22" i="2"/>
  <c r="G22" i="2" s="1"/>
  <c r="G18" i="2"/>
  <c r="H18" i="2" s="1"/>
  <c r="B17" i="2"/>
  <c r="G17" i="2" s="1"/>
  <c r="H17" i="2" s="1"/>
  <c r="B16" i="2"/>
  <c r="G16" i="2" s="1"/>
  <c r="H16" i="2" s="1"/>
  <c r="B15" i="2"/>
  <c r="G15" i="2" s="1"/>
  <c r="H15" i="2" s="1"/>
  <c r="B14" i="2"/>
  <c r="G19" i="2" l="1"/>
  <c r="H19" i="2" s="1"/>
  <c r="B48" i="2"/>
  <c r="G14" i="2"/>
  <c r="D14" i="2"/>
  <c r="E14" i="2" s="1"/>
  <c r="D21" i="2"/>
  <c r="E21" i="2" s="1"/>
  <c r="G21" i="2"/>
  <c r="D17" i="2"/>
  <c r="E17" i="2" s="1"/>
  <c r="N5" i="2"/>
  <c r="O5" i="2" s="1"/>
  <c r="D18" i="2"/>
  <c r="E18" i="2" s="1"/>
  <c r="L9" i="2"/>
  <c r="D22" i="2"/>
  <c r="E22" i="2" s="1"/>
  <c r="N4" i="2"/>
  <c r="D15" i="2"/>
  <c r="E15" i="2" s="1"/>
  <c r="D23" i="2"/>
  <c r="E23" i="2" s="1"/>
  <c r="Q7" i="2"/>
  <c r="Q6" i="2"/>
  <c r="R6" i="2" s="1"/>
  <c r="R4" i="2"/>
  <c r="N9" i="2" l="1"/>
  <c r="O4" i="2"/>
  <c r="G48" i="2"/>
  <c r="H48" i="2" s="1"/>
  <c r="H14" i="2"/>
  <c r="Q9" i="2"/>
  <c r="I15" i="5"/>
  <c r="C9" i="2"/>
  <c r="C8" i="2"/>
  <c r="C6" i="2"/>
  <c r="C5" i="2"/>
  <c r="C4" i="2"/>
  <c r="F10" i="2"/>
  <c r="F25" i="2" s="1"/>
  <c r="B7" i="2"/>
  <c r="D7" i="2" s="1"/>
  <c r="B6" i="2"/>
  <c r="B8" i="2"/>
  <c r="B5" i="2"/>
  <c r="G5" i="2" s="1"/>
  <c r="H5" i="2" s="1"/>
  <c r="B4" i="2"/>
  <c r="P278" i="14"/>
  <c r="G6" i="2" l="1"/>
  <c r="H6" i="2" s="1"/>
  <c r="D6" i="2"/>
  <c r="D8" i="2"/>
  <c r="E8" i="2" s="1"/>
  <c r="C10" i="2"/>
  <c r="G8" i="2"/>
  <c r="D5" i="2"/>
  <c r="E5" i="2" s="1"/>
  <c r="G7" i="2"/>
  <c r="E6" i="2"/>
  <c r="G4" i="2"/>
  <c r="D4" i="2"/>
  <c r="J49" i="7"/>
  <c r="H9" i="15"/>
  <c r="B10" i="5"/>
  <c r="B20" i="5" s="1"/>
  <c r="B48" i="5" s="1"/>
  <c r="H4" i="2" l="1"/>
  <c r="E4" i="2"/>
  <c r="M38" i="5"/>
  <c r="M41" i="5"/>
  <c r="M42" i="5" l="1"/>
  <c r="B36" i="2" l="1"/>
  <c r="D36" i="2" s="1"/>
  <c r="E36" i="2" s="1"/>
  <c r="B9" i="2"/>
  <c r="G9" i="2" l="1"/>
  <c r="G10" i="2" s="1"/>
  <c r="H10" i="2" s="1"/>
  <c r="B10" i="2"/>
  <c r="D9" i="2"/>
  <c r="C90" i="12"/>
  <c r="E62" i="12" s="1"/>
  <c r="C86" i="12"/>
  <c r="E58" i="12" s="1"/>
  <c r="C83" i="12"/>
  <c r="C65" i="12"/>
  <c r="K61" i="12"/>
  <c r="C61" i="12"/>
  <c r="E60" i="12"/>
  <c r="G60" i="12" s="1"/>
  <c r="E57" i="12"/>
  <c r="K56" i="12"/>
  <c r="K55" i="12"/>
  <c r="K54" i="12"/>
  <c r="C54" i="12"/>
  <c r="C47" i="12"/>
  <c r="F37" i="12"/>
  <c r="E54" i="12" s="1"/>
  <c r="K36" i="12"/>
  <c r="K53" i="12" s="1"/>
  <c r="K35" i="12"/>
  <c r="K28" i="12"/>
  <c r="F28" i="12"/>
  <c r="F35" i="12" s="1"/>
  <c r="F23" i="12"/>
  <c r="F34" i="12" s="1"/>
  <c r="E20" i="12"/>
  <c r="F20" i="12" s="1"/>
  <c r="E19" i="12"/>
  <c r="E14" i="12"/>
  <c r="E13" i="12"/>
  <c r="E12" i="12"/>
  <c r="F19" i="12" s="1"/>
  <c r="F36" i="12" s="1"/>
  <c r="L10" i="12"/>
  <c r="L9" i="12"/>
  <c r="C9" i="12"/>
  <c r="E10" i="12" s="1"/>
  <c r="E17" i="12" s="1"/>
  <c r="L8" i="12"/>
  <c r="L7" i="12"/>
  <c r="K7" i="12"/>
  <c r="C9" i="11"/>
  <c r="I76" i="9"/>
  <c r="I75" i="9"/>
  <c r="I74" i="9"/>
  <c r="I73" i="9"/>
  <c r="I68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G20" i="15"/>
  <c r="F20" i="15"/>
  <c r="E20" i="15"/>
  <c r="D20" i="15"/>
  <c r="H20" i="15"/>
  <c r="G17" i="15"/>
  <c r="F17" i="15"/>
  <c r="E17" i="15"/>
  <c r="D17" i="15"/>
  <c r="H17" i="15"/>
  <c r="H13" i="15"/>
  <c r="H11" i="15"/>
  <c r="B124" i="7"/>
  <c r="E26" i="6"/>
  <c r="E37" i="6" s="1"/>
  <c r="O60" i="10"/>
  <c r="O61" i="10" s="1"/>
  <c r="O64" i="10" s="1"/>
  <c r="K60" i="10"/>
  <c r="K61" i="10" s="1"/>
  <c r="K64" i="10" s="1"/>
  <c r="G59" i="10"/>
  <c r="G60" i="10" s="1"/>
  <c r="G63" i="10" s="1"/>
  <c r="C59" i="10"/>
  <c r="C57" i="10"/>
  <c r="C56" i="10"/>
  <c r="C55" i="10"/>
  <c r="O45" i="10"/>
  <c r="O46" i="10" s="1"/>
  <c r="O49" i="10" s="1"/>
  <c r="K45" i="10"/>
  <c r="K46" i="10" s="1"/>
  <c r="K49" i="10" s="1"/>
  <c r="G45" i="10"/>
  <c r="G46" i="10" s="1"/>
  <c r="G49" i="10" s="1"/>
  <c r="C45" i="10"/>
  <c r="C46" i="10" s="1"/>
  <c r="C49" i="10" s="1"/>
  <c r="O28" i="10"/>
  <c r="O29" i="10" s="1"/>
  <c r="O32" i="10" s="1"/>
  <c r="K28" i="10"/>
  <c r="K29" i="10" s="1"/>
  <c r="K32" i="10" s="1"/>
  <c r="G28" i="10"/>
  <c r="G29" i="10" s="1"/>
  <c r="G32" i="10" s="1"/>
  <c r="C28" i="10"/>
  <c r="C29" i="10" s="1"/>
  <c r="C32" i="10" s="1"/>
  <c r="O12" i="10"/>
  <c r="O13" i="10" s="1"/>
  <c r="O16" i="10" s="1"/>
  <c r="K12" i="10"/>
  <c r="K13" i="10" s="1"/>
  <c r="K16" i="10" s="1"/>
  <c r="G12" i="10"/>
  <c r="G13" i="10" s="1"/>
  <c r="G16" i="10" s="1"/>
  <c r="C12" i="10"/>
  <c r="C13" i="10" s="1"/>
  <c r="C16" i="10" s="1"/>
  <c r="C327" i="14"/>
  <c r="F327" i="14" s="1"/>
  <c r="F328" i="14" s="1"/>
  <c r="J310" i="14"/>
  <c r="H310" i="14"/>
  <c r="G310" i="14"/>
  <c r="F310" i="14"/>
  <c r="C307" i="14"/>
  <c r="I307" i="14" s="1"/>
  <c r="I308" i="14" s="1"/>
  <c r="C298" i="14"/>
  <c r="C299" i="14" s="1"/>
  <c r="G299" i="14" s="1"/>
  <c r="G300" i="14" s="1"/>
  <c r="J289" i="14"/>
  <c r="C288" i="14"/>
  <c r="C289" i="14" s="1"/>
  <c r="C284" i="14"/>
  <c r="Q280" i="14"/>
  <c r="J280" i="14"/>
  <c r="I280" i="14"/>
  <c r="H280" i="14"/>
  <c r="G280" i="14"/>
  <c r="F280" i="14"/>
  <c r="S279" i="14"/>
  <c r="S278" i="14"/>
  <c r="S277" i="14"/>
  <c r="S276" i="14"/>
  <c r="C276" i="14"/>
  <c r="C277" i="14" s="1"/>
  <c r="I277" i="14" s="1"/>
  <c r="I278" i="14" s="1"/>
  <c r="S275" i="14"/>
  <c r="S274" i="14"/>
  <c r="S273" i="14"/>
  <c r="S272" i="14"/>
  <c r="S271" i="14"/>
  <c r="S270" i="14"/>
  <c r="C270" i="14"/>
  <c r="C263" i="14" s="1"/>
  <c r="S269" i="14"/>
  <c r="K269" i="14"/>
  <c r="K270" i="14" s="1"/>
  <c r="J269" i="14"/>
  <c r="J270" i="14" s="1"/>
  <c r="I269" i="14"/>
  <c r="H269" i="14"/>
  <c r="G269" i="14"/>
  <c r="F269" i="14"/>
  <c r="S268" i="14"/>
  <c r="S267" i="14"/>
  <c r="I267" i="14"/>
  <c r="H267" i="14"/>
  <c r="G267" i="14"/>
  <c r="F267" i="14"/>
  <c r="E267" i="14"/>
  <c r="E270" i="14" s="1"/>
  <c r="S266" i="14"/>
  <c r="S265" i="14"/>
  <c r="S264" i="14"/>
  <c r="S263" i="14"/>
  <c r="S262" i="14"/>
  <c r="S261" i="14"/>
  <c r="P260" i="14"/>
  <c r="P280" i="14" s="1"/>
  <c r="S258" i="14"/>
  <c r="L258" i="14"/>
  <c r="L259" i="14" s="1"/>
  <c r="K258" i="14"/>
  <c r="K259" i="14" s="1"/>
  <c r="J258" i="14"/>
  <c r="I258" i="14"/>
  <c r="H258" i="14"/>
  <c r="G258" i="14"/>
  <c r="S257" i="14"/>
  <c r="S256" i="14"/>
  <c r="J256" i="14"/>
  <c r="C256" i="14"/>
  <c r="C259" i="14" s="1"/>
  <c r="C251" i="14" s="1"/>
  <c r="S255" i="14"/>
  <c r="I255" i="14"/>
  <c r="I256" i="14" s="1"/>
  <c r="I259" i="14" s="1"/>
  <c r="H255" i="14"/>
  <c r="H256" i="14" s="1"/>
  <c r="G255" i="14"/>
  <c r="G256" i="14" s="1"/>
  <c r="F255" i="14"/>
  <c r="F256" i="14" s="1"/>
  <c r="E255" i="14"/>
  <c r="E256" i="14" s="1"/>
  <c r="S254" i="14"/>
  <c r="S253" i="14"/>
  <c r="S252" i="14"/>
  <c r="S251" i="14"/>
  <c r="S250" i="14"/>
  <c r="S249" i="14"/>
  <c r="S248" i="14"/>
  <c r="C247" i="14"/>
  <c r="C240" i="14" s="1"/>
  <c r="G246" i="14"/>
  <c r="F246" i="14"/>
  <c r="E246" i="14"/>
  <c r="I245" i="14"/>
  <c r="H245" i="14"/>
  <c r="G245" i="14"/>
  <c r="F245" i="14"/>
  <c r="E245" i="14"/>
  <c r="J244" i="14"/>
  <c r="J247" i="14" s="1"/>
  <c r="I244" i="14"/>
  <c r="H244" i="14"/>
  <c r="G244" i="14"/>
  <c r="F244" i="14"/>
  <c r="E244" i="14"/>
  <c r="C236" i="14"/>
  <c r="C231" i="14" s="1"/>
  <c r="I235" i="14"/>
  <c r="H235" i="14"/>
  <c r="G235" i="14"/>
  <c r="F235" i="14"/>
  <c r="I234" i="14"/>
  <c r="H234" i="14"/>
  <c r="G234" i="14"/>
  <c r="F234" i="14"/>
  <c r="E234" i="14"/>
  <c r="J234" i="14" s="1"/>
  <c r="J236" i="14" s="1"/>
  <c r="C227" i="14"/>
  <c r="I226" i="14"/>
  <c r="H226" i="14"/>
  <c r="G226" i="14"/>
  <c r="F226" i="14"/>
  <c r="I225" i="14"/>
  <c r="H225" i="14"/>
  <c r="G225" i="14"/>
  <c r="F225" i="14"/>
  <c r="E225" i="14"/>
  <c r="E227" i="14" s="1"/>
  <c r="C222" i="14"/>
  <c r="C218" i="14"/>
  <c r="C213" i="14" s="1"/>
  <c r="I217" i="14"/>
  <c r="H217" i="14"/>
  <c r="G217" i="14"/>
  <c r="F217" i="14"/>
  <c r="I216" i="14"/>
  <c r="H216" i="14"/>
  <c r="G216" i="14"/>
  <c r="F216" i="14"/>
  <c r="E216" i="14"/>
  <c r="C209" i="14"/>
  <c r="C204" i="14" s="1"/>
  <c r="K208" i="14"/>
  <c r="K209" i="14" s="1"/>
  <c r="J208" i="14"/>
  <c r="I208" i="14"/>
  <c r="H208" i="14"/>
  <c r="G208" i="14"/>
  <c r="F208" i="14"/>
  <c r="I207" i="14"/>
  <c r="H207" i="14"/>
  <c r="G207" i="14"/>
  <c r="F207" i="14"/>
  <c r="E207" i="14"/>
  <c r="E209" i="14" s="1"/>
  <c r="J200" i="14"/>
  <c r="E200" i="14"/>
  <c r="C200" i="14"/>
  <c r="C195" i="14" s="1"/>
  <c r="I199" i="14"/>
  <c r="I200" i="14" s="1"/>
  <c r="H199" i="14"/>
  <c r="H200" i="14" s="1"/>
  <c r="G199" i="14"/>
  <c r="G200" i="14" s="1"/>
  <c r="F199" i="14"/>
  <c r="F200" i="14" s="1"/>
  <c r="J192" i="14"/>
  <c r="E192" i="14"/>
  <c r="C192" i="14"/>
  <c r="C187" i="14" s="1"/>
  <c r="I191" i="14"/>
  <c r="I192" i="14" s="1"/>
  <c r="H191" i="14"/>
  <c r="H192" i="14" s="1"/>
  <c r="G191" i="14"/>
  <c r="G192" i="14" s="1"/>
  <c r="F191" i="14"/>
  <c r="F192" i="14" s="1"/>
  <c r="E183" i="14"/>
  <c r="C183" i="14"/>
  <c r="C178" i="14" s="1"/>
  <c r="J182" i="14"/>
  <c r="J183" i="14" s="1"/>
  <c r="I182" i="14"/>
  <c r="I183" i="14" s="1"/>
  <c r="H182" i="14"/>
  <c r="H183" i="14" s="1"/>
  <c r="G182" i="14"/>
  <c r="G183" i="14" s="1"/>
  <c r="F182" i="14"/>
  <c r="F183" i="14" s="1"/>
  <c r="J174" i="14"/>
  <c r="E174" i="14"/>
  <c r="C174" i="14"/>
  <c r="C169" i="14" s="1"/>
  <c r="I173" i="14"/>
  <c r="I174" i="14" s="1"/>
  <c r="H173" i="14"/>
  <c r="H174" i="14" s="1"/>
  <c r="G173" i="14"/>
  <c r="G174" i="14" s="1"/>
  <c r="F173" i="14"/>
  <c r="F174" i="14" s="1"/>
  <c r="C165" i="14"/>
  <c r="C159" i="14" s="1"/>
  <c r="K164" i="14"/>
  <c r="K165" i="14" s="1"/>
  <c r="J164" i="14"/>
  <c r="I164" i="14"/>
  <c r="H164" i="14"/>
  <c r="G164" i="14"/>
  <c r="F164" i="14"/>
  <c r="J163" i="14"/>
  <c r="I163" i="14"/>
  <c r="H163" i="14"/>
  <c r="G163" i="14"/>
  <c r="F163" i="14"/>
  <c r="I162" i="14"/>
  <c r="H162" i="14"/>
  <c r="G162" i="14"/>
  <c r="F162" i="14"/>
  <c r="E162" i="14"/>
  <c r="E165" i="14" s="1"/>
  <c r="C155" i="14"/>
  <c r="I154" i="14"/>
  <c r="H154" i="14"/>
  <c r="G154" i="14"/>
  <c r="F154" i="14"/>
  <c r="I153" i="14"/>
  <c r="H153" i="14"/>
  <c r="G153" i="14"/>
  <c r="F153" i="14"/>
  <c r="E153" i="14"/>
  <c r="E155" i="14" s="1"/>
  <c r="I145" i="14"/>
  <c r="H145" i="14"/>
  <c r="G145" i="14"/>
  <c r="F145" i="14"/>
  <c r="I144" i="14"/>
  <c r="H144" i="14"/>
  <c r="G144" i="14"/>
  <c r="E144" i="14"/>
  <c r="F143" i="14"/>
  <c r="E143" i="14"/>
  <c r="C141" i="14"/>
  <c r="C137" i="14"/>
  <c r="C132" i="14" s="1"/>
  <c r="G136" i="14"/>
  <c r="H136" i="14" s="1"/>
  <c r="I135" i="14"/>
  <c r="H135" i="14"/>
  <c r="G135" i="14"/>
  <c r="F135" i="14"/>
  <c r="F137" i="14" s="1"/>
  <c r="H18" i="13" s="1"/>
  <c r="E135" i="14"/>
  <c r="J135" i="14" s="1"/>
  <c r="C128" i="14"/>
  <c r="I127" i="14"/>
  <c r="H127" i="14"/>
  <c r="G127" i="14"/>
  <c r="F127" i="14"/>
  <c r="I126" i="14"/>
  <c r="H126" i="14"/>
  <c r="G126" i="14"/>
  <c r="F126" i="14"/>
  <c r="E126" i="14"/>
  <c r="F19" i="13" s="1"/>
  <c r="G19" i="13" s="1"/>
  <c r="C119" i="14"/>
  <c r="I118" i="14"/>
  <c r="H118" i="14"/>
  <c r="G118" i="14"/>
  <c r="F118" i="14"/>
  <c r="I117" i="14"/>
  <c r="H117" i="14"/>
  <c r="G117" i="14"/>
  <c r="F117" i="14"/>
  <c r="E117" i="14"/>
  <c r="J117" i="14" s="1"/>
  <c r="J119" i="14" s="1"/>
  <c r="C110" i="14"/>
  <c r="I109" i="14"/>
  <c r="H109" i="14"/>
  <c r="G109" i="14"/>
  <c r="F109" i="14"/>
  <c r="I108" i="14"/>
  <c r="H108" i="14"/>
  <c r="G108" i="14"/>
  <c r="F108" i="14"/>
  <c r="E108" i="14"/>
  <c r="J108" i="14" s="1"/>
  <c r="I107" i="14"/>
  <c r="H107" i="14"/>
  <c r="G107" i="14"/>
  <c r="F107" i="14"/>
  <c r="E107" i="14"/>
  <c r="E344" i="14" s="1"/>
  <c r="I106" i="14"/>
  <c r="H106" i="14"/>
  <c r="G106" i="14"/>
  <c r="F106" i="14"/>
  <c r="E106" i="14"/>
  <c r="J106" i="14" s="1"/>
  <c r="C99" i="14"/>
  <c r="I98" i="14"/>
  <c r="H98" i="14"/>
  <c r="G98" i="14"/>
  <c r="F98" i="14"/>
  <c r="I97" i="14"/>
  <c r="H97" i="14"/>
  <c r="G97" i="14"/>
  <c r="F97" i="14"/>
  <c r="E97" i="14"/>
  <c r="C15" i="13" s="1"/>
  <c r="G15" i="13" s="1"/>
  <c r="C90" i="14"/>
  <c r="C85" i="14" s="1"/>
  <c r="K89" i="14"/>
  <c r="K90" i="14" s="1"/>
  <c r="J89" i="14"/>
  <c r="I89" i="14"/>
  <c r="H89" i="14"/>
  <c r="G89" i="14"/>
  <c r="F89" i="14"/>
  <c r="F21" i="13" s="1"/>
  <c r="G21" i="13" s="1"/>
  <c r="I88" i="14"/>
  <c r="H88" i="14"/>
  <c r="G88" i="14"/>
  <c r="F88" i="14"/>
  <c r="E88" i="14"/>
  <c r="C81" i="14"/>
  <c r="I80" i="14"/>
  <c r="H80" i="14"/>
  <c r="G80" i="14"/>
  <c r="F80" i="14"/>
  <c r="I79" i="14"/>
  <c r="H79" i="14"/>
  <c r="G79" i="14"/>
  <c r="F79" i="14"/>
  <c r="E79" i="14"/>
  <c r="E13" i="13" s="1"/>
  <c r="C72" i="14"/>
  <c r="I71" i="14"/>
  <c r="H71" i="14"/>
  <c r="G71" i="14"/>
  <c r="F71" i="14"/>
  <c r="I70" i="14"/>
  <c r="H70" i="14"/>
  <c r="G70" i="14"/>
  <c r="F70" i="14"/>
  <c r="E70" i="14"/>
  <c r="E72" i="14" s="1"/>
  <c r="C63" i="14"/>
  <c r="I62" i="14"/>
  <c r="H62" i="14"/>
  <c r="G62" i="14"/>
  <c r="F62" i="14"/>
  <c r="I61" i="14"/>
  <c r="H61" i="14"/>
  <c r="G61" i="14"/>
  <c r="F61" i="14"/>
  <c r="E61" i="14"/>
  <c r="E63" i="14" s="1"/>
  <c r="C54" i="14"/>
  <c r="C47" i="14" s="1"/>
  <c r="K53" i="14"/>
  <c r="J53" i="14"/>
  <c r="I53" i="14"/>
  <c r="H53" i="14"/>
  <c r="G53" i="14"/>
  <c r="K52" i="14"/>
  <c r="J52" i="14"/>
  <c r="I52" i="14"/>
  <c r="H52" i="14"/>
  <c r="G52" i="14"/>
  <c r="I51" i="14"/>
  <c r="H51" i="14"/>
  <c r="G51" i="14"/>
  <c r="F51" i="14"/>
  <c r="J50" i="14"/>
  <c r="I50" i="14"/>
  <c r="H50" i="14"/>
  <c r="G50" i="14"/>
  <c r="F50" i="14"/>
  <c r="E50" i="14"/>
  <c r="E54" i="14" s="1"/>
  <c r="E22" i="13" s="1"/>
  <c r="J43" i="14"/>
  <c r="I43" i="14"/>
  <c r="H43" i="14"/>
  <c r="G43" i="14"/>
  <c r="F43" i="14"/>
  <c r="C42" i="14"/>
  <c r="G42" i="14" s="1"/>
  <c r="I41" i="14"/>
  <c r="H41" i="14"/>
  <c r="G41" i="14"/>
  <c r="F41" i="14"/>
  <c r="E41" i="14"/>
  <c r="E44" i="14" s="1"/>
  <c r="E23" i="13" s="1"/>
  <c r="E34" i="14"/>
  <c r="C34" i="14"/>
  <c r="C29" i="14" s="1"/>
  <c r="L33" i="14"/>
  <c r="L34" i="14" s="1"/>
  <c r="K32" i="14"/>
  <c r="K34" i="14" s="1"/>
  <c r="J32" i="14"/>
  <c r="J34" i="14" s="1"/>
  <c r="I32" i="14"/>
  <c r="I34" i="14" s="1"/>
  <c r="H32" i="14"/>
  <c r="H34" i="14" s="1"/>
  <c r="G32" i="14"/>
  <c r="G34" i="14" s="1"/>
  <c r="H24" i="13" s="1"/>
  <c r="F32" i="14"/>
  <c r="F34" i="14" s="1"/>
  <c r="E24" i="13" s="1"/>
  <c r="I25" i="14"/>
  <c r="H23" i="14"/>
  <c r="F7" i="13" s="1"/>
  <c r="G7" i="13" s="1"/>
  <c r="G23" i="14"/>
  <c r="G25" i="14" s="1"/>
  <c r="F23" i="14"/>
  <c r="F25" i="14" s="1"/>
  <c r="E23" i="14"/>
  <c r="E25" i="14" s="1"/>
  <c r="M15" i="14"/>
  <c r="N15" i="14" s="1"/>
  <c r="L15" i="14"/>
  <c r="K15" i="14"/>
  <c r="J15" i="14"/>
  <c r="I15" i="14"/>
  <c r="F8" i="13" s="1"/>
  <c r="G8" i="13" s="1"/>
  <c r="H15" i="14"/>
  <c r="G15" i="14"/>
  <c r="F15" i="14"/>
  <c r="E15" i="14"/>
  <c r="C15" i="14"/>
  <c r="F202" i="13"/>
  <c r="F201" i="13"/>
  <c r="E200" i="13"/>
  <c r="D200" i="13"/>
  <c r="F199" i="13"/>
  <c r="F198" i="13"/>
  <c r="F197" i="13"/>
  <c r="F196" i="13"/>
  <c r="F195" i="13"/>
  <c r="E194" i="13"/>
  <c r="F194" i="13" s="1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C160" i="13"/>
  <c r="C156" i="13"/>
  <c r="E144" i="13"/>
  <c r="D144" i="13"/>
  <c r="G142" i="13"/>
  <c r="F139" i="13"/>
  <c r="H139" i="13" s="1"/>
  <c r="F138" i="13"/>
  <c r="H138" i="13" s="1"/>
  <c r="F111" i="13"/>
  <c r="H111" i="13" s="1"/>
  <c r="D103" i="13"/>
  <c r="F101" i="13"/>
  <c r="C133" i="13" s="1"/>
  <c r="F133" i="13" s="1"/>
  <c r="H133" i="13" s="1"/>
  <c r="F100" i="13"/>
  <c r="C132" i="13" s="1"/>
  <c r="F132" i="13" s="1"/>
  <c r="H132" i="13" s="1"/>
  <c r="F99" i="13"/>
  <c r="C131" i="13" s="1"/>
  <c r="F131" i="13" s="1"/>
  <c r="H131" i="13" s="1"/>
  <c r="F98" i="13"/>
  <c r="C137" i="13" s="1"/>
  <c r="F137" i="13" s="1"/>
  <c r="H137" i="13" s="1"/>
  <c r="F97" i="13"/>
  <c r="C136" i="13" s="1"/>
  <c r="F136" i="13" s="1"/>
  <c r="H136" i="13" s="1"/>
  <c r="C96" i="13"/>
  <c r="F96" i="13" s="1"/>
  <c r="C135" i="13" s="1"/>
  <c r="F135" i="13" s="1"/>
  <c r="H135" i="13" s="1"/>
  <c r="C95" i="13"/>
  <c r="F95" i="13" s="1"/>
  <c r="C94" i="13"/>
  <c r="F94" i="13" s="1"/>
  <c r="E93" i="13"/>
  <c r="C93" i="13"/>
  <c r="E92" i="13"/>
  <c r="C92" i="13"/>
  <c r="F92" i="13" s="1"/>
  <c r="C129" i="13" s="1"/>
  <c r="F129" i="13" s="1"/>
  <c r="H129" i="13" s="1"/>
  <c r="C91" i="13"/>
  <c r="F91" i="13" s="1"/>
  <c r="C128" i="13" s="1"/>
  <c r="F128" i="13" s="1"/>
  <c r="H128" i="13" s="1"/>
  <c r="C90" i="13"/>
  <c r="F90" i="13" s="1"/>
  <c r="C127" i="13" s="1"/>
  <c r="F127" i="13" s="1"/>
  <c r="H127" i="13" s="1"/>
  <c r="C89" i="13"/>
  <c r="F89" i="13" s="1"/>
  <c r="C126" i="13" s="1"/>
  <c r="F126" i="13" s="1"/>
  <c r="H126" i="13" s="1"/>
  <c r="C88" i="13"/>
  <c r="F88" i="13" s="1"/>
  <c r="C125" i="13" s="1"/>
  <c r="F125" i="13" s="1"/>
  <c r="H125" i="13" s="1"/>
  <c r="C87" i="13"/>
  <c r="F87" i="13" s="1"/>
  <c r="C124" i="13" s="1"/>
  <c r="F124" i="13" s="1"/>
  <c r="H124" i="13" s="1"/>
  <c r="C86" i="13"/>
  <c r="F86" i="13" s="1"/>
  <c r="C123" i="13" s="1"/>
  <c r="F123" i="13" s="1"/>
  <c r="H123" i="13" s="1"/>
  <c r="F85" i="13"/>
  <c r="F81" i="13"/>
  <c r="E78" i="13"/>
  <c r="E103" i="13" s="1"/>
  <c r="C66" i="13"/>
  <c r="H53" i="13"/>
  <c r="F44" i="13"/>
  <c r="F43" i="13"/>
  <c r="G43" i="13" s="1"/>
  <c r="C83" i="13" s="1"/>
  <c r="F83" i="13" s="1"/>
  <c r="C109" i="13" s="1"/>
  <c r="F109" i="13" s="1"/>
  <c r="H109" i="13" s="1"/>
  <c r="G42" i="13"/>
  <c r="C82" i="13" s="1"/>
  <c r="F82" i="13" s="1"/>
  <c r="G40" i="13"/>
  <c r="C80" i="13" s="1"/>
  <c r="F80" i="13" s="1"/>
  <c r="C122" i="13" s="1"/>
  <c r="F122" i="13" s="1"/>
  <c r="H122" i="13" s="1"/>
  <c r="G39" i="13"/>
  <c r="C79" i="13" s="1"/>
  <c r="F79" i="13" s="1"/>
  <c r="C121" i="13" s="1"/>
  <c r="F121" i="13" s="1"/>
  <c r="H121" i="13" s="1"/>
  <c r="G38" i="13"/>
  <c r="C78" i="13" s="1"/>
  <c r="G37" i="13"/>
  <c r="C77" i="13" s="1"/>
  <c r="F77" i="13" s="1"/>
  <c r="C119" i="13" s="1"/>
  <c r="F119" i="13" s="1"/>
  <c r="H119" i="13" s="1"/>
  <c r="G36" i="13"/>
  <c r="C76" i="13" s="1"/>
  <c r="F76" i="13" s="1"/>
  <c r="C118" i="13" s="1"/>
  <c r="F118" i="13" s="1"/>
  <c r="H118" i="13" s="1"/>
  <c r="G35" i="13"/>
  <c r="C75" i="13" s="1"/>
  <c r="F75" i="13" s="1"/>
  <c r="C117" i="13" s="1"/>
  <c r="F117" i="13" s="1"/>
  <c r="H117" i="13" s="1"/>
  <c r="G34" i="13"/>
  <c r="C74" i="13" s="1"/>
  <c r="F74" i="13" s="1"/>
  <c r="C116" i="13" s="1"/>
  <c r="F116" i="13" s="1"/>
  <c r="H116" i="13" s="1"/>
  <c r="G33" i="13"/>
  <c r="C73" i="13" s="1"/>
  <c r="F73" i="13" s="1"/>
  <c r="C115" i="13" s="1"/>
  <c r="F115" i="13" s="1"/>
  <c r="H115" i="13" s="1"/>
  <c r="E32" i="13"/>
  <c r="G32" i="13" s="1"/>
  <c r="H56" i="13" s="1"/>
  <c r="G31" i="13"/>
  <c r="C71" i="13" s="1"/>
  <c r="F71" i="13" s="1"/>
  <c r="G30" i="13"/>
  <c r="C70" i="13" s="1"/>
  <c r="F70" i="13" s="1"/>
  <c r="C112" i="13" s="1"/>
  <c r="F112" i="13" s="1"/>
  <c r="H112" i="13" s="1"/>
  <c r="G29" i="13"/>
  <c r="C69" i="13" s="1"/>
  <c r="F69" i="13" s="1"/>
  <c r="C108" i="13" s="1"/>
  <c r="F108" i="13" s="1"/>
  <c r="G28" i="13"/>
  <c r="G17" i="13"/>
  <c r="H8" i="13"/>
  <c r="J8" i="13" s="1"/>
  <c r="J7" i="13"/>
  <c r="F2" i="13"/>
  <c r="B193" i="7"/>
  <c r="C192" i="7"/>
  <c r="C193" i="7" s="1"/>
  <c r="C191" i="7"/>
  <c r="B191" i="7"/>
  <c r="C184" i="7"/>
  <c r="B184" i="7"/>
  <c r="C176" i="7"/>
  <c r="B176" i="7"/>
  <c r="B180" i="7" s="1"/>
  <c r="C174" i="7"/>
  <c r="C180" i="7" s="1"/>
  <c r="C169" i="7"/>
  <c r="B168" i="7"/>
  <c r="B169" i="7" s="1"/>
  <c r="H165" i="7"/>
  <c r="I164" i="7"/>
  <c r="J163" i="7"/>
  <c r="J162" i="7"/>
  <c r="J161" i="7"/>
  <c r="J160" i="7"/>
  <c r="J159" i="7"/>
  <c r="H158" i="7"/>
  <c r="J158" i="7" s="1"/>
  <c r="H157" i="7"/>
  <c r="H164" i="7" s="1"/>
  <c r="H152" i="7"/>
  <c r="H153" i="7" s="1"/>
  <c r="C151" i="7"/>
  <c r="B151" i="7"/>
  <c r="D150" i="7"/>
  <c r="D149" i="7"/>
  <c r="D148" i="7"/>
  <c r="C134" i="7"/>
  <c r="B134" i="7"/>
  <c r="D133" i="7"/>
  <c r="D132" i="7"/>
  <c r="D131" i="7"/>
  <c r="C124" i="7"/>
  <c r="C117" i="7"/>
  <c r="B116" i="7"/>
  <c r="D116" i="7" s="1"/>
  <c r="B115" i="7"/>
  <c r="D115" i="7" s="1"/>
  <c r="C109" i="7"/>
  <c r="B108" i="7"/>
  <c r="B109" i="7" s="1"/>
  <c r="C107" i="7"/>
  <c r="B106" i="7"/>
  <c r="B107" i="7" s="1"/>
  <c r="C105" i="7"/>
  <c r="B105" i="7"/>
  <c r="D104" i="7"/>
  <c r="D103" i="7"/>
  <c r="D102" i="7"/>
  <c r="D105" i="7" s="1"/>
  <c r="C96" i="7"/>
  <c r="B96" i="7"/>
  <c r="D95" i="7"/>
  <c r="D94" i="7"/>
  <c r="C93" i="7"/>
  <c r="B93" i="7"/>
  <c r="D93" i="7" s="1"/>
  <c r="D92" i="7"/>
  <c r="E85" i="7"/>
  <c r="D85" i="7"/>
  <c r="C85" i="7"/>
  <c r="F84" i="7"/>
  <c r="F83" i="7"/>
  <c r="F82" i="7"/>
  <c r="F81" i="7"/>
  <c r="F80" i="7"/>
  <c r="F79" i="7"/>
  <c r="F78" i="7"/>
  <c r="F77" i="7"/>
  <c r="F76" i="7"/>
  <c r="F75" i="7"/>
  <c r="E73" i="7"/>
  <c r="C73" i="7"/>
  <c r="D70" i="7"/>
  <c r="D73" i="7" s="1"/>
  <c r="F69" i="7"/>
  <c r="F68" i="7"/>
  <c r="K49" i="7"/>
  <c r="L48" i="7"/>
  <c r="L47" i="7"/>
  <c r="L46" i="7"/>
  <c r="L45" i="7"/>
  <c r="L44" i="7"/>
  <c r="L43" i="7"/>
  <c r="L42" i="7"/>
  <c r="L41" i="7"/>
  <c r="L40" i="7"/>
  <c r="L39" i="7"/>
  <c r="M33" i="7"/>
  <c r="M32" i="7"/>
  <c r="M31" i="7"/>
  <c r="M30" i="7"/>
  <c r="M29" i="7"/>
  <c r="M28" i="7"/>
  <c r="M27" i="7"/>
  <c r="C24" i="7"/>
  <c r="B24" i="7"/>
  <c r="D24" i="7" s="1"/>
  <c r="C23" i="7"/>
  <c r="B23" i="7"/>
  <c r="C22" i="7"/>
  <c r="B22" i="7"/>
  <c r="C21" i="7"/>
  <c r="B21" i="7"/>
  <c r="M20" i="7"/>
  <c r="L20" i="7"/>
  <c r="C20" i="7"/>
  <c r="B20" i="7"/>
  <c r="N18" i="7"/>
  <c r="K17" i="7"/>
  <c r="N17" i="7" s="1"/>
  <c r="K16" i="7"/>
  <c r="B9" i="7"/>
  <c r="C8" i="7"/>
  <c r="C7" i="7"/>
  <c r="B7" i="7"/>
  <c r="K6" i="7"/>
  <c r="N6" i="7" s="1"/>
  <c r="B6" i="7"/>
  <c r="K5" i="7"/>
  <c r="C5" i="7"/>
  <c r="D80" i="5"/>
  <c r="B76" i="5"/>
  <c r="C9" i="7"/>
  <c r="B8" i="7"/>
  <c r="B72" i="5"/>
  <c r="D72" i="5" s="1"/>
  <c r="D71" i="5"/>
  <c r="B70" i="5"/>
  <c r="C6" i="7"/>
  <c r="C68" i="5"/>
  <c r="B5" i="7"/>
  <c r="D5" i="7" s="1"/>
  <c r="C64" i="5"/>
  <c r="D63" i="5"/>
  <c r="D62" i="5"/>
  <c r="C58" i="5"/>
  <c r="D56" i="5"/>
  <c r="D55" i="5"/>
  <c r="D53" i="5"/>
  <c r="J51" i="5"/>
  <c r="J50" i="5"/>
  <c r="J48" i="5"/>
  <c r="J47" i="5"/>
  <c r="I46" i="5"/>
  <c r="J46" i="5" s="1"/>
  <c r="D46" i="5"/>
  <c r="C41" i="5"/>
  <c r="D40" i="5"/>
  <c r="D39" i="5"/>
  <c r="C19" i="2"/>
  <c r="J36" i="5"/>
  <c r="C35" i="5"/>
  <c r="J34" i="5"/>
  <c r="D34" i="5"/>
  <c r="J33" i="5"/>
  <c r="C33" i="5"/>
  <c r="J32" i="5"/>
  <c r="D32" i="5"/>
  <c r="C31" i="5"/>
  <c r="B31" i="5"/>
  <c r="D31" i="5" s="1"/>
  <c r="D30" i="5"/>
  <c r="C29" i="5"/>
  <c r="B29" i="5"/>
  <c r="J28" i="5"/>
  <c r="D28" i="5"/>
  <c r="J27" i="5"/>
  <c r="B27" i="5"/>
  <c r="J26" i="5"/>
  <c r="C36" i="5"/>
  <c r="C43" i="5" s="1"/>
  <c r="J25" i="5"/>
  <c r="J24" i="5"/>
  <c r="J23" i="5"/>
  <c r="C16" i="2"/>
  <c r="J21" i="5"/>
  <c r="J19" i="5"/>
  <c r="D17" i="5"/>
  <c r="D16" i="5"/>
  <c r="H15" i="5"/>
  <c r="D15" i="5"/>
  <c r="J14" i="5"/>
  <c r="D14" i="5"/>
  <c r="J13" i="5"/>
  <c r="C10" i="5"/>
  <c r="D9" i="5"/>
  <c r="D8" i="5"/>
  <c r="J7" i="5"/>
  <c r="D7" i="5"/>
  <c r="J6" i="5"/>
  <c r="D6" i="5"/>
  <c r="J5" i="5"/>
  <c r="C10" i="20"/>
  <c r="D21" i="28"/>
  <c r="D24" i="28" s="1"/>
  <c r="D7" i="28"/>
  <c r="D10" i="28" s="1"/>
  <c r="D43" i="6" l="1"/>
  <c r="D40" i="6"/>
  <c r="D19" i="2"/>
  <c r="E19" i="2" s="1"/>
  <c r="C48" i="2"/>
  <c r="D48" i="2" s="1"/>
  <c r="E48" i="2" s="1"/>
  <c r="F93" i="13"/>
  <c r="C130" i="13" s="1"/>
  <c r="F130" i="13" s="1"/>
  <c r="H130" i="13" s="1"/>
  <c r="I197" i="13"/>
  <c r="D96" i="7"/>
  <c r="E21" i="13"/>
  <c r="F20" i="13"/>
  <c r="G20" i="13" s="1"/>
  <c r="H128" i="14"/>
  <c r="I128" i="14"/>
  <c r="F24" i="13"/>
  <c r="G24" i="13" s="1"/>
  <c r="H155" i="14"/>
  <c r="S260" i="14"/>
  <c r="K349" i="14"/>
  <c r="C10" i="13"/>
  <c r="G10" i="13" s="1"/>
  <c r="F23" i="13"/>
  <c r="G23" i="13" s="1"/>
  <c r="G227" i="14"/>
  <c r="E10" i="13"/>
  <c r="I165" i="14"/>
  <c r="C20" i="5"/>
  <c r="D14" i="15"/>
  <c r="D21" i="15" s="1"/>
  <c r="D29" i="5"/>
  <c r="D21" i="7"/>
  <c r="H63" i="14"/>
  <c r="F72" i="14"/>
  <c r="G155" i="14"/>
  <c r="J259" i="14"/>
  <c r="C162" i="13"/>
  <c r="F200" i="13"/>
  <c r="I195" i="13" s="1"/>
  <c r="H166" i="7"/>
  <c r="F247" i="14"/>
  <c r="D67" i="5"/>
  <c r="D10" i="5"/>
  <c r="B68" i="5"/>
  <c r="D68" i="5" s="1"/>
  <c r="D75" i="5"/>
  <c r="J54" i="14"/>
  <c r="G72" i="14"/>
  <c r="H11" i="13" s="1"/>
  <c r="F63" i="14"/>
  <c r="G209" i="14"/>
  <c r="H227" i="14"/>
  <c r="E21" i="15"/>
  <c r="G63" i="14"/>
  <c r="H10" i="13" s="1"/>
  <c r="H209" i="14"/>
  <c r="C75" i="12"/>
  <c r="D8" i="7"/>
  <c r="N20" i="7"/>
  <c r="F73" i="7"/>
  <c r="D109" i="7"/>
  <c r="C13" i="13"/>
  <c r="G13" i="13" s="1"/>
  <c r="M16" i="14"/>
  <c r="N16" i="14" s="1"/>
  <c r="Q16" i="14" s="1"/>
  <c r="J70" i="14"/>
  <c r="J72" i="14" s="1"/>
  <c r="F90" i="14"/>
  <c r="F99" i="14"/>
  <c r="G119" i="14"/>
  <c r="F155" i="14"/>
  <c r="H16" i="13" s="1"/>
  <c r="F218" i="14"/>
  <c r="F227" i="14"/>
  <c r="D76" i="5"/>
  <c r="G247" i="14"/>
  <c r="D6" i="7"/>
  <c r="C76" i="5"/>
  <c r="F54" i="14"/>
  <c r="H22" i="13" s="1"/>
  <c r="F270" i="14"/>
  <c r="F22" i="12"/>
  <c r="C11" i="13"/>
  <c r="G11" i="13" s="1"/>
  <c r="H25" i="14"/>
  <c r="G44" i="14"/>
  <c r="G54" i="14"/>
  <c r="J61" i="14"/>
  <c r="J63" i="14" s="1"/>
  <c r="I110" i="14"/>
  <c r="I270" i="14"/>
  <c r="J164" i="7"/>
  <c r="B33" i="5"/>
  <c r="D33" i="5" s="1"/>
  <c r="E11" i="13"/>
  <c r="K54" i="14"/>
  <c r="H72" i="14"/>
  <c r="I227" i="14"/>
  <c r="D124" i="7"/>
  <c r="J30" i="5"/>
  <c r="D134" i="7"/>
  <c r="D151" i="7"/>
  <c r="C72" i="13"/>
  <c r="F72" i="13" s="1"/>
  <c r="C114" i="13" s="1"/>
  <c r="F114" i="13" s="1"/>
  <c r="H114" i="13" s="1"/>
  <c r="I54" i="14"/>
  <c r="I72" i="14"/>
  <c r="I90" i="14"/>
  <c r="I349" i="14" s="1"/>
  <c r="F344" i="14"/>
  <c r="F119" i="14"/>
  <c r="H20" i="13" s="1"/>
  <c r="J162" i="14"/>
  <c r="J165" i="14" s="1"/>
  <c r="H165" i="14"/>
  <c r="I218" i="14"/>
  <c r="J225" i="14"/>
  <c r="J227" i="14" s="1"/>
  <c r="E247" i="14"/>
  <c r="E53" i="12"/>
  <c r="E52" i="12"/>
  <c r="F45" i="12"/>
  <c r="C54" i="2"/>
  <c r="C20" i="2"/>
  <c r="C24" i="2" s="1"/>
  <c r="C25" i="2" s="1"/>
  <c r="D22" i="7"/>
  <c r="G270" i="14"/>
  <c r="F277" i="14"/>
  <c r="F278" i="14" s="1"/>
  <c r="F281" i="14" s="1"/>
  <c r="H299" i="14"/>
  <c r="H300" i="14" s="1"/>
  <c r="G327" i="14"/>
  <c r="G328" i="14" s="1"/>
  <c r="D46" i="6"/>
  <c r="D54" i="6" s="1"/>
  <c r="E277" i="14"/>
  <c r="J277" i="14" s="1"/>
  <c r="J278" i="14" s="1"/>
  <c r="J281" i="14" s="1"/>
  <c r="E343" i="14"/>
  <c r="E345" i="14" s="1"/>
  <c r="F18" i="13"/>
  <c r="G18" i="13" s="1"/>
  <c r="F78" i="13"/>
  <c r="C120" i="13" s="1"/>
  <c r="F120" i="13" s="1"/>
  <c r="H120" i="13" s="1"/>
  <c r="F203" i="13"/>
  <c r="G277" i="14"/>
  <c r="G278" i="14" s="1"/>
  <c r="G281" i="14" s="1"/>
  <c r="H327" i="14"/>
  <c r="H328" i="14" s="1"/>
  <c r="D41" i="5"/>
  <c r="C77" i="5"/>
  <c r="C82" i="5" s="1"/>
  <c r="K7" i="7"/>
  <c r="N7" i="7" s="1"/>
  <c r="C97" i="7"/>
  <c r="D108" i="7"/>
  <c r="F22" i="13"/>
  <c r="G22" i="13" s="1"/>
  <c r="F58" i="13"/>
  <c r="F81" i="14"/>
  <c r="G90" i="14"/>
  <c r="H12" i="13" s="1"/>
  <c r="G99" i="14"/>
  <c r="H15" i="13" s="1"/>
  <c r="J110" i="14"/>
  <c r="H344" i="14"/>
  <c r="H119" i="14"/>
  <c r="F165" i="14"/>
  <c r="K174" i="14"/>
  <c r="F236" i="14"/>
  <c r="H277" i="14"/>
  <c r="H278" i="14" s="1"/>
  <c r="H281" i="14" s="1"/>
  <c r="F288" i="14"/>
  <c r="F289" i="14" s="1"/>
  <c r="I327" i="14"/>
  <c r="I328" i="14" s="1"/>
  <c r="C60" i="10"/>
  <c r="C61" i="10" s="1"/>
  <c r="C64" i="10" s="1"/>
  <c r="E15" i="12"/>
  <c r="C92" i="12"/>
  <c r="E137" i="14"/>
  <c r="E18" i="13" s="1"/>
  <c r="C70" i="5"/>
  <c r="D70" i="5" s="1"/>
  <c r="H54" i="14"/>
  <c r="I63" i="14"/>
  <c r="G110" i="14"/>
  <c r="H14" i="13" s="1"/>
  <c r="E119" i="14"/>
  <c r="E20" i="13" s="1"/>
  <c r="I247" i="14"/>
  <c r="E288" i="14"/>
  <c r="E289" i="14" s="1"/>
  <c r="M34" i="14"/>
  <c r="G81" i="14"/>
  <c r="H13" i="13" s="1"/>
  <c r="H90" i="14"/>
  <c r="H349" i="14" s="1"/>
  <c r="F110" i="14"/>
  <c r="G165" i="14"/>
  <c r="I209" i="14"/>
  <c r="G236" i="14"/>
  <c r="E236" i="14"/>
  <c r="G288" i="14"/>
  <c r="G289" i="14" s="1"/>
  <c r="C328" i="14"/>
  <c r="E9" i="2"/>
  <c r="D10" i="2"/>
  <c r="B54" i="2"/>
  <c r="B20" i="2"/>
  <c r="B35" i="5"/>
  <c r="D35" i="5" s="1"/>
  <c r="C10" i="7"/>
  <c r="F103" i="13"/>
  <c r="F105" i="13" s="1"/>
  <c r="F128" i="14"/>
  <c r="J207" i="14"/>
  <c r="J209" i="14" s="1"/>
  <c r="H236" i="14"/>
  <c r="H259" i="14"/>
  <c r="H288" i="14"/>
  <c r="H289" i="14" s="1"/>
  <c r="E61" i="12"/>
  <c r="F62" i="5"/>
  <c r="D106" i="7"/>
  <c r="E8" i="13"/>
  <c r="D16" i="2"/>
  <c r="D23" i="7"/>
  <c r="H270" i="14"/>
  <c r="C48" i="5"/>
  <c r="K20" i="7"/>
  <c r="E7" i="13"/>
  <c r="H54" i="13"/>
  <c r="I196" i="13"/>
  <c r="G137" i="14"/>
  <c r="K200" i="14"/>
  <c r="F209" i="14"/>
  <c r="H218" i="14"/>
  <c r="F21" i="15"/>
  <c r="D107" i="7"/>
  <c r="D110" i="7" s="1"/>
  <c r="B110" i="7"/>
  <c r="F144" i="13"/>
  <c r="F167" i="13" s="1"/>
  <c r="C113" i="13"/>
  <c r="F113" i="13" s="1"/>
  <c r="H113" i="13" s="1"/>
  <c r="D97" i="7"/>
  <c r="H108" i="13"/>
  <c r="B117" i="7"/>
  <c r="C123" i="7"/>
  <c r="C125" i="7" s="1"/>
  <c r="I38" i="5"/>
  <c r="I40" i="5" s="1"/>
  <c r="D7" i="7"/>
  <c r="C110" i="7"/>
  <c r="D117" i="7"/>
  <c r="J97" i="14"/>
  <c r="J99" i="14" s="1"/>
  <c r="E99" i="14"/>
  <c r="I136" i="14"/>
  <c r="J136" i="14" s="1"/>
  <c r="K136" i="14" s="1"/>
  <c r="K137" i="14" s="1"/>
  <c r="H137" i="14"/>
  <c r="F42" i="14"/>
  <c r="F44" i="14" s="1"/>
  <c r="H23" i="13" s="1"/>
  <c r="E90" i="14"/>
  <c r="J88" i="14"/>
  <c r="J90" i="14" s="1"/>
  <c r="J349" i="14" s="1"/>
  <c r="E12" i="13"/>
  <c r="C12" i="13"/>
  <c r="G12" i="13" s="1"/>
  <c r="K34" i="12"/>
  <c r="K15" i="12"/>
  <c r="D26" i="5"/>
  <c r="G307" i="14"/>
  <c r="G308" i="14" s="1"/>
  <c r="G311" i="14" s="1"/>
  <c r="F307" i="14"/>
  <c r="F308" i="14" s="1"/>
  <c r="F311" i="14" s="1"/>
  <c r="E307" i="14"/>
  <c r="E308" i="14" s="1"/>
  <c r="H307" i="14"/>
  <c r="H308" i="14" s="1"/>
  <c r="H311" i="14" s="1"/>
  <c r="C308" i="14"/>
  <c r="J15" i="5"/>
  <c r="N5" i="7"/>
  <c r="G44" i="13"/>
  <c r="B97" i="7"/>
  <c r="D73" i="5"/>
  <c r="K8" i="7"/>
  <c r="N8" i="7" s="1"/>
  <c r="B25" i="7"/>
  <c r="C25" i="7"/>
  <c r="J307" i="14"/>
  <c r="J308" i="14" s="1"/>
  <c r="J22" i="5"/>
  <c r="C27" i="5"/>
  <c r="D27" i="5" s="1"/>
  <c r="J31" i="5"/>
  <c r="D69" i="5"/>
  <c r="B74" i="5"/>
  <c r="D74" i="5" s="1"/>
  <c r="F85" i="7"/>
  <c r="H101" i="13"/>
  <c r="C134" i="13"/>
  <c r="F134" i="13" s="1"/>
  <c r="J143" i="14"/>
  <c r="J146" i="14" s="1"/>
  <c r="E146" i="14"/>
  <c r="I281" i="14"/>
  <c r="J42" i="14"/>
  <c r="J44" i="14" s="1"/>
  <c r="C44" i="14"/>
  <c r="C38" i="14" s="1"/>
  <c r="I42" i="14"/>
  <c r="I44" i="14" s="1"/>
  <c r="H42" i="14"/>
  <c r="H44" i="14" s="1"/>
  <c r="K42" i="14"/>
  <c r="K44" i="14" s="1"/>
  <c r="J153" i="14"/>
  <c r="J155" i="14" s="1"/>
  <c r="F16" i="13"/>
  <c r="G16" i="13" s="1"/>
  <c r="E16" i="13"/>
  <c r="H38" i="5"/>
  <c r="B123" i="7"/>
  <c r="J37" i="5"/>
  <c r="D9" i="7"/>
  <c r="J79" i="14"/>
  <c r="J81" i="14" s="1"/>
  <c r="E81" i="14"/>
  <c r="G143" i="14"/>
  <c r="F146" i="14"/>
  <c r="H17" i="13" s="1"/>
  <c r="E299" i="14"/>
  <c r="E300" i="14" s="1"/>
  <c r="C300" i="14"/>
  <c r="F299" i="14"/>
  <c r="F300" i="14" s="1"/>
  <c r="J299" i="14"/>
  <c r="J300" i="14" s="1"/>
  <c r="I299" i="14"/>
  <c r="I300" i="14" s="1"/>
  <c r="I81" i="14"/>
  <c r="H110" i="14"/>
  <c r="G128" i="14"/>
  <c r="G218" i="14"/>
  <c r="I236" i="14"/>
  <c r="E110" i="14"/>
  <c r="I119" i="14"/>
  <c r="I155" i="14"/>
  <c r="K183" i="14"/>
  <c r="H247" i="14"/>
  <c r="K68" i="12"/>
  <c r="K52" i="12"/>
  <c r="L49" i="7"/>
  <c r="I344" i="14"/>
  <c r="H99" i="14"/>
  <c r="J126" i="14"/>
  <c r="J128" i="14" s="1"/>
  <c r="E128" i="14"/>
  <c r="K192" i="14"/>
  <c r="J216" i="14"/>
  <c r="J218" i="14" s="1"/>
  <c r="E218" i="14"/>
  <c r="F47" i="12"/>
  <c r="D20" i="7"/>
  <c r="J157" i="7"/>
  <c r="H81" i="14"/>
  <c r="I99" i="14"/>
  <c r="C278" i="14"/>
  <c r="C281" i="14" s="1"/>
  <c r="C273" i="14" s="1"/>
  <c r="F29" i="12"/>
  <c r="F31" i="12" s="1"/>
  <c r="E59" i="12"/>
  <c r="E63" i="12" s="1"/>
  <c r="I288" i="14"/>
  <c r="I289" i="14" s="1"/>
  <c r="E327" i="14"/>
  <c r="B10" i="7"/>
  <c r="D64" i="5"/>
  <c r="K146" i="14" l="1"/>
  <c r="I198" i="13"/>
  <c r="L54" i="14"/>
  <c r="K227" i="14"/>
  <c r="K119" i="14"/>
  <c r="E278" i="14"/>
  <c r="I348" i="14" s="1"/>
  <c r="H348" i="14"/>
  <c r="L209" i="14"/>
  <c r="K247" i="14"/>
  <c r="K236" i="14"/>
  <c r="K344" i="14"/>
  <c r="G71" i="12"/>
  <c r="D10" i="7"/>
  <c r="K72" i="14"/>
  <c r="K218" i="14"/>
  <c r="F85" i="12"/>
  <c r="F71" i="12"/>
  <c r="F73" i="12" s="1"/>
  <c r="K63" i="14"/>
  <c r="J344" i="14"/>
  <c r="J137" i="14"/>
  <c r="H14" i="15"/>
  <c r="H21" i="15" s="1"/>
  <c r="L165" i="14"/>
  <c r="K155" i="14"/>
  <c r="I137" i="14"/>
  <c r="F343" i="14"/>
  <c r="F345" i="14" s="1"/>
  <c r="E16" i="2"/>
  <c r="R259" i="14"/>
  <c r="H19" i="13"/>
  <c r="E10" i="2"/>
  <c r="H343" i="14"/>
  <c r="H345" i="14" s="1"/>
  <c r="F10" i="6"/>
  <c r="D25" i="7"/>
  <c r="C84" i="5"/>
  <c r="D18" i="5"/>
  <c r="D20" i="5"/>
  <c r="H99" i="13"/>
  <c r="G20" i="2"/>
  <c r="B24" i="2"/>
  <c r="B25" i="2" s="1"/>
  <c r="G25" i="2" s="1"/>
  <c r="D20" i="2"/>
  <c r="E20" i="2" s="1"/>
  <c r="G54" i="2"/>
  <c r="H54" i="2" s="1"/>
  <c r="D54" i="2"/>
  <c r="E54" i="2" s="1"/>
  <c r="F65" i="5"/>
  <c r="I49" i="5"/>
  <c r="I52" i="5" s="1"/>
  <c r="E66" i="12"/>
  <c r="N9" i="7"/>
  <c r="L44" i="14"/>
  <c r="D36" i="5"/>
  <c r="I151" i="13"/>
  <c r="H134" i="13"/>
  <c r="E19" i="13"/>
  <c r="K128" i="14"/>
  <c r="E311" i="14"/>
  <c r="K51" i="12"/>
  <c r="L39" i="12"/>
  <c r="L90" i="14"/>
  <c r="K110" i="14"/>
  <c r="E14" i="13"/>
  <c r="C14" i="13"/>
  <c r="G14" i="13" s="1"/>
  <c r="G25" i="13" s="1"/>
  <c r="F59" i="13" s="1"/>
  <c r="G344" i="14"/>
  <c r="H143" i="14"/>
  <c r="I343" i="14" s="1"/>
  <c r="I345" i="14" s="1"/>
  <c r="G146" i="14"/>
  <c r="J38" i="5"/>
  <c r="I149" i="13"/>
  <c r="K99" i="14"/>
  <c r="E15" i="13"/>
  <c r="H40" i="5"/>
  <c r="D123" i="7"/>
  <c r="D125" i="7" s="1"/>
  <c r="B125" i="7"/>
  <c r="E125" i="7" s="1"/>
  <c r="K30" i="12"/>
  <c r="K17" i="12"/>
  <c r="K9" i="7"/>
  <c r="E328" i="14"/>
  <c r="J348" i="14" s="1"/>
  <c r="J327" i="14"/>
  <c r="J328" i="14" s="1"/>
  <c r="K81" i="14"/>
  <c r="E17" i="13"/>
  <c r="H55" i="13"/>
  <c r="H57" i="13" s="1"/>
  <c r="C84" i="13"/>
  <c r="F84" i="13" s="1"/>
  <c r="K350" i="14" l="1"/>
  <c r="L137" i="14"/>
  <c r="K345" i="14"/>
  <c r="F87" i="12"/>
  <c r="F105" i="12"/>
  <c r="D24" i="2"/>
  <c r="D25" i="2" s="1"/>
  <c r="H20" i="2"/>
  <c r="G24" i="2"/>
  <c r="R280" i="14"/>
  <c r="S259" i="14"/>
  <c r="S280" i="14" s="1"/>
  <c r="D43" i="5"/>
  <c r="D48" i="5"/>
  <c r="H49" i="5"/>
  <c r="J40" i="5"/>
  <c r="H347" i="14"/>
  <c r="H350" i="14" s="1"/>
  <c r="G343" i="14"/>
  <c r="G345" i="14" s="1"/>
  <c r="H59" i="13"/>
  <c r="F62" i="13"/>
  <c r="K48" i="12"/>
  <c r="K32" i="12"/>
  <c r="H100" i="13"/>
  <c r="H102" i="13" s="1"/>
  <c r="C110" i="13"/>
  <c r="F110" i="13" s="1"/>
  <c r="I143" i="14"/>
  <c r="H146" i="14"/>
  <c r="I347" i="14" l="1"/>
  <c r="I350" i="14" s="1"/>
  <c r="H110" i="13"/>
  <c r="I150" i="13"/>
  <c r="I152" i="13" s="1"/>
  <c r="I146" i="14"/>
  <c r="J347" i="14" s="1"/>
  <c r="J350" i="14" s="1"/>
  <c r="J343" i="14"/>
  <c r="J345" i="14" s="1"/>
  <c r="K50" i="12"/>
  <c r="K69" i="12"/>
  <c r="H52" i="5"/>
  <c r="B57" i="5" s="1"/>
  <c r="B58" i="5" s="1"/>
  <c r="B82" i="5" s="1"/>
  <c r="J49" i="5"/>
  <c r="K71" i="12" l="1"/>
  <c r="N77" i="12"/>
  <c r="K34" i="7"/>
  <c r="M34" i="7" s="1"/>
  <c r="J52" i="5"/>
  <c r="D57" i="5" l="1"/>
  <c r="D58" i="5" l="1"/>
  <c r="D82" i="5" l="1"/>
  <c r="B84" i="5"/>
  <c r="G317" i="14" l="1"/>
  <c r="E317" i="14"/>
  <c r="F317" i="14"/>
  <c r="I317" i="14"/>
  <c r="H317" i="14"/>
  <c r="C320" i="14"/>
</calcChain>
</file>

<file path=xl/sharedStrings.xml><?xml version="1.0" encoding="utf-8"?>
<sst xmlns="http://schemas.openxmlformats.org/spreadsheetml/2006/main" count="2381" uniqueCount="1186">
  <si>
    <t>RICAVI</t>
  </si>
  <si>
    <t>Variazioni</t>
  </si>
  <si>
    <t>%</t>
  </si>
  <si>
    <t>Ricavi per attività commerciale</t>
  </si>
  <si>
    <t xml:space="preserve">RICAVI E CONTRIBUTI </t>
  </si>
  <si>
    <t>Contributo RT</t>
  </si>
  <si>
    <t>Contributi c/capitale</t>
  </si>
  <si>
    <t>Proventi finanziari</t>
  </si>
  <si>
    <t>n/a</t>
  </si>
  <si>
    <t>Altri Proventi (straordinari)</t>
  </si>
  <si>
    <t>Totale Ricavi</t>
  </si>
  <si>
    <t>Contributo CNR</t>
  </si>
  <si>
    <t>COSTI</t>
  </si>
  <si>
    <t>Acquisto di beni</t>
  </si>
  <si>
    <t>AUTOSTRADE</t>
  </si>
  <si>
    <t>Contibuti c/esercizio</t>
  </si>
  <si>
    <t>Contibuti c/esercizio da RT</t>
  </si>
  <si>
    <t>Manutenzioni</t>
  </si>
  <si>
    <t>Acquisto di altri servizi</t>
  </si>
  <si>
    <t>Interessi attivi c/c</t>
  </si>
  <si>
    <t>Godimento beni di terzi</t>
  </si>
  <si>
    <t>Personale</t>
  </si>
  <si>
    <t>Contributi c/esercizio da altri soggetti pubblici</t>
  </si>
  <si>
    <t>Oneri diversi di gestione</t>
  </si>
  <si>
    <t>Ammortamenti</t>
  </si>
  <si>
    <t>Oneri finanziari</t>
  </si>
  <si>
    <t>TOTALE CONTRIBUTI ORDINARI</t>
  </si>
  <si>
    <t>Imposte e tasse</t>
  </si>
  <si>
    <t>Contributi c/esercizio da altri soggetti</t>
  </si>
  <si>
    <t>TOTALE</t>
  </si>
  <si>
    <t>TOTALE COSTI</t>
  </si>
  <si>
    <t xml:space="preserve">PERSONALE  </t>
  </si>
  <si>
    <t>coge</t>
  </si>
  <si>
    <t>Utile d'esercizio</t>
  </si>
  <si>
    <t>Variaz.</t>
  </si>
  <si>
    <t>Variaz</t>
  </si>
  <si>
    <t>DRT 4456/19 Agrometeo</t>
  </si>
  <si>
    <t>DRT 21557/19 Umbria</t>
  </si>
  <si>
    <t>TFR</t>
  </si>
  <si>
    <t>DRT 11594/17 Balneazione</t>
  </si>
  <si>
    <t>Totale personale LaMMA</t>
  </si>
  <si>
    <t>SICOMAR PLUS</t>
  </si>
  <si>
    <t>SYMPA</t>
  </si>
  <si>
    <t>IMPACT</t>
  </si>
  <si>
    <t>CNR Contributo ordinario</t>
  </si>
  <si>
    <t>GIAS</t>
  </si>
  <si>
    <t>SINAPSI</t>
  </si>
  <si>
    <t>MEDSTAR</t>
  </si>
  <si>
    <t>PROFUMO-DEMONSTRATOR</t>
  </si>
  <si>
    <t>MAREGOT</t>
  </si>
  <si>
    <t>SICOMAR</t>
  </si>
  <si>
    <t>PROTERINA 2</t>
  </si>
  <si>
    <t>DRT 18020-18_CORPI IDRICI</t>
  </si>
  <si>
    <t>DRT 21015-18_UMBRIA-2</t>
  </si>
  <si>
    <t>DRT 5379-18_INFRASTRUTTURA-SIT</t>
  </si>
  <si>
    <t>DRT 17633-18-MINERVA</t>
  </si>
  <si>
    <t>Sicurezza</t>
  </si>
  <si>
    <t>per 3 anni + 2 rinnovo</t>
  </si>
  <si>
    <t>TOTALE COSTO PERSONALE</t>
  </si>
  <si>
    <t>3 mesi</t>
  </si>
  <si>
    <t>DRT 14796/16 STARMET ARCETRI</t>
  </si>
  <si>
    <t>DRT 14861/16 FRANE RADAR</t>
  </si>
  <si>
    <t>12 mesi</t>
  </si>
  <si>
    <t>DRT 18064/17 CORPI IDRICI CC</t>
  </si>
  <si>
    <t>DRT 8099/17 PIANO COSTE</t>
  </si>
  <si>
    <t>ORGANI DEL CONSORZIO</t>
  </si>
  <si>
    <t>PROFUMO DEM</t>
  </si>
  <si>
    <t>DRT 13484/18 BALNEAZIONE PLUS</t>
  </si>
  <si>
    <t>DRT 10842/19 GEOBASI</t>
  </si>
  <si>
    <t>AIT</t>
  </si>
  <si>
    <t>IRAP AU</t>
  </si>
  <si>
    <t>DRT 13609/19 PIANO CAVE</t>
  </si>
  <si>
    <t>DRT 4456/19 AGROMETEO</t>
  </si>
  <si>
    <t>9 mesi</t>
  </si>
  <si>
    <t>DRT 9357/19 INFRASTRUTTURA SIT</t>
  </si>
  <si>
    <t>DRT 11594/17 BALNEAZIONE</t>
  </si>
  <si>
    <t>COSTI PER SERVIZI</t>
  </si>
  <si>
    <t>MANUTENZIONI</t>
  </si>
  <si>
    <t>Spese per organi del Consorzio</t>
  </si>
  <si>
    <t>Assicurazioni</t>
  </si>
  <si>
    <t>Spese per banche dati</t>
  </si>
  <si>
    <t>Missioni</t>
  </si>
  <si>
    <t xml:space="preserve">Manutenzioni strumentazione meteo </t>
  </si>
  <si>
    <t>Manutenzioni strumenti misura</t>
  </si>
  <si>
    <t>TOTALE COSTI PER SERVIZI</t>
  </si>
  <si>
    <t>Quota annuale contr. c/capitale</t>
  </si>
  <si>
    <t>SERVIZI ESTERNI</t>
  </si>
  <si>
    <t>COSTI PER ATTIVITA' ORDINARIA</t>
  </si>
  <si>
    <t>Acquisti</t>
  </si>
  <si>
    <t>Organi del Consorzio</t>
  </si>
  <si>
    <t>Imposte</t>
  </si>
  <si>
    <t>TOTALE COSTI PER ATTIVITA' ORDINARIA</t>
  </si>
  <si>
    <t xml:space="preserve">Servizi esterni  </t>
  </si>
  <si>
    <t>Proventi Straordinari</t>
  </si>
  <si>
    <t>Pubblicazioni scientifiche</t>
  </si>
  <si>
    <t>Convenzione IBIMET</t>
  </si>
  <si>
    <t>ACQUISTI</t>
  </si>
  <si>
    <t>MISSIONI</t>
  </si>
  <si>
    <t>IMPOSTE</t>
  </si>
  <si>
    <t>AMMORTAMENTI</t>
  </si>
  <si>
    <t>TOTALE RICAVI</t>
  </si>
  <si>
    <t>DIFFERENZA</t>
  </si>
  <si>
    <t>Buoni pasto</t>
  </si>
  <si>
    <t>ok con coge</t>
  </si>
  <si>
    <t>SPESE GENERALI</t>
  </si>
  <si>
    <t>PROTERINA-3E</t>
  </si>
  <si>
    <t>AIT RISORSE IDRICHE</t>
  </si>
  <si>
    <t>ASSICURAZIONI (gestione)+servizio broker</t>
  </si>
  <si>
    <t>LOCAZIONI E GODIMENTO BENI DI TERZI</t>
  </si>
  <si>
    <t>Locali</t>
  </si>
  <si>
    <t>COMPENSO LORDO</t>
  </si>
  <si>
    <t>Spese condominiali</t>
  </si>
  <si>
    <t>IVA 22%</t>
  </si>
  <si>
    <t>CAP 4%</t>
  </si>
  <si>
    <t>TOTALE LORDO ENTE</t>
  </si>
  <si>
    <t>Importo</t>
  </si>
  <si>
    <t>Fotocopiatrici</t>
  </si>
  <si>
    <t>Imm. Materiali-Radar meteorologico e attrezz. varie</t>
  </si>
  <si>
    <t>Server</t>
  </si>
  <si>
    <t>hardware CED</t>
  </si>
  <si>
    <t>COMPENSO AMMNISTRATORE UNICO</t>
  </si>
  <si>
    <t>Storage</t>
  </si>
  <si>
    <t>SHAREMED</t>
  </si>
  <si>
    <t>rinnovo sala meteo</t>
  </si>
  <si>
    <t>Attrezzature informatiche ufficio</t>
  </si>
  <si>
    <t>hardware CED, materiale informatico e audiovisivo</t>
  </si>
  <si>
    <t>CORPI IDRICI CC2017</t>
  </si>
  <si>
    <t>CORPI IDRICI 2018</t>
  </si>
  <si>
    <t>Licenze - Workstation</t>
  </si>
  <si>
    <t>Radar HF</t>
  </si>
  <si>
    <t>Ricavi Ordinari</t>
  </si>
  <si>
    <t>UMBRIA2018</t>
  </si>
  <si>
    <t>Differenza</t>
  </si>
  <si>
    <t>MINERVA</t>
  </si>
  <si>
    <t>software oceanografico</t>
  </si>
  <si>
    <t>DRT 5379-18 SIT</t>
  </si>
  <si>
    <t>SWAM</t>
  </si>
  <si>
    <t>strumentazione GNSS e meteorologica</t>
  </si>
  <si>
    <t>AMIANTO</t>
  </si>
  <si>
    <t>server</t>
  </si>
  <si>
    <t>PROTERINA2</t>
  </si>
  <si>
    <t>ACQUISTI DI BENI</t>
  </si>
  <si>
    <t>VARIAZIONI</t>
  </si>
  <si>
    <t>COGE</t>
  </si>
  <si>
    <t>Acquisto materiali di consumo per uffici e arredi</t>
  </si>
  <si>
    <t>Acquisto materiale elettrico e inform. Per uffici</t>
  </si>
  <si>
    <t>TOTALE ACQUISTI DI BENI</t>
  </si>
  <si>
    <t>ACQUISTI DI S ERVIZI</t>
  </si>
  <si>
    <t>Organi del Consorzio (IRAP esclusa)</t>
  </si>
  <si>
    <t>Totale costi</t>
  </si>
  <si>
    <t>Spese per missioni</t>
  </si>
  <si>
    <t xml:space="preserve">Spese generali </t>
  </si>
  <si>
    <t>Servizi tecnico-amministrativi ordinari (compreso personale CNR assegnato)</t>
  </si>
  <si>
    <t>MANUTENZIONI E RIPARAZIONI</t>
  </si>
  <si>
    <t>Manutenzioni e riparazioni</t>
  </si>
  <si>
    <t>Totale</t>
  </si>
  <si>
    <t>Manutenzioni e riparazioni per prog. Straordinari</t>
  </si>
  <si>
    <t>TOTALE MANUTENZIONI E RIPARAZIONI</t>
  </si>
  <si>
    <t>Servizi tecnici esterni per attività straordinarie</t>
  </si>
  <si>
    <t>Convenzioni e accordi CNR</t>
  </si>
  <si>
    <t>GODIMENTO DI BENI DI TERZI</t>
  </si>
  <si>
    <t>Fitti passivi immobili (Locali Sesto F.No)</t>
  </si>
  <si>
    <t>Noleggio apparecchiatura hardware ed elettr.</t>
  </si>
  <si>
    <t>Noleggio auto</t>
  </si>
  <si>
    <t>TOTALE COSTI PER GODIMENTO BENI DI TERZI</t>
  </si>
  <si>
    <t>Servizi esterni tecnico-ammnistrativi</t>
  </si>
  <si>
    <t xml:space="preserve">Spese generali ed altri costi </t>
  </si>
  <si>
    <t>Descrizione</t>
  </si>
  <si>
    <t>Valori bollati, tasse, concessioni e diritti annuali</t>
  </si>
  <si>
    <t>Altri oneri diversi di gestione</t>
  </si>
  <si>
    <t>Note</t>
  </si>
  <si>
    <t>Servizi amministrativi</t>
  </si>
  <si>
    <t>Personale CNR messo a disposizione come Contributo Ordinario</t>
  </si>
  <si>
    <t>ONERI DIVERSI DI GESTIONE</t>
  </si>
  <si>
    <t>TOTALE ONERI DIVERSI DI GESTIONE</t>
  </si>
  <si>
    <t>STATO PATRIMONIALE</t>
  </si>
  <si>
    <t>CONTO ECONOMICO</t>
  </si>
  <si>
    <t>ATTIVO</t>
  </si>
  <si>
    <t>A) VALORE DELLA PRODUZIONE</t>
  </si>
  <si>
    <t>B) IMMOBILIZZAZIONI</t>
  </si>
  <si>
    <t>1) Ricavi delle vendite e delle prestazioni</t>
  </si>
  <si>
    <t>I – Immobilizzazioni immateriali</t>
  </si>
  <si>
    <t>1.a) Contributi per l'attuazione del piano delle attività</t>
  </si>
  <si>
    <t>3) Diritti di brevetto e utilizzazioni opere dell'ingegno</t>
  </si>
  <si>
    <t>1.b) Contributi della Regione per il funzionamento</t>
  </si>
  <si>
    <t>4) Concessioni, licenze, marchi e diritti simili</t>
  </si>
  <si>
    <t>1.e) Contributi in c/esercizio da altri soggetti pubblici</t>
  </si>
  <si>
    <t>5) Altre immobilizzazioni immateriali</t>
  </si>
  <si>
    <t>A.1.f) Ricavi per prestazioni dell'attività commerciale</t>
  </si>
  <si>
    <t>Totale immobilizzazioni immateriali</t>
  </si>
  <si>
    <t>5) Altri ricavi e proventi con separata indicazione dei contributi in c/esercizio</t>
  </si>
  <si>
    <t>II – Immobilizzazioni materiali</t>
  </si>
  <si>
    <t>5.a)) Altri ricavi e proventi, concorsi recuperi e rimborsi</t>
  </si>
  <si>
    <t>2) Impianti e macchinari</t>
  </si>
  <si>
    <t>5.b) Costi sterilizzati da utilizzo contributi per investimenti</t>
  </si>
  <si>
    <t>3) Attrezzature Istituzionali e commerciali</t>
  </si>
  <si>
    <t>TOTALE VALORE DELLA PRODUZIONE</t>
  </si>
  <si>
    <t xml:space="preserve">4) Altri beni </t>
  </si>
  <si>
    <t xml:space="preserve">    4) a) Macchinari d'Ufficio (compresi hardware)</t>
  </si>
  <si>
    <t>Totale immobilizzazioni materiali</t>
  </si>
  <si>
    <t>B) COSTI DELLA PRODUZIONE</t>
  </si>
  <si>
    <t>B.6) Acquisti di beni</t>
  </si>
  <si>
    <t>TOTALE IMMOBILIZZAZIONI</t>
  </si>
  <si>
    <t>B.7) Acquisti di servizi</t>
  </si>
  <si>
    <t>I</t>
  </si>
  <si>
    <t>B.7.a) Manutenzioni e riparazioni</t>
  </si>
  <si>
    <t>B.7.b) Altri acquisti di servizi</t>
  </si>
  <si>
    <t>B.8) per godimento di beni di terzi</t>
  </si>
  <si>
    <t>C) ATTIVO CIRCOLANTE</t>
  </si>
  <si>
    <t>B.9) Personale:</t>
  </si>
  <si>
    <t>II-Crediti</t>
  </si>
  <si>
    <t>B.9.a) salari e stipendi</t>
  </si>
  <si>
    <t>1) Crediti verso Regione Toscana</t>
  </si>
  <si>
    <t>B.9.b) oneri sociali</t>
  </si>
  <si>
    <t>Esigibili entro l'esercizio successivo</t>
  </si>
  <si>
    <t>B.9.d) trattamento di quiescenza e simili</t>
  </si>
  <si>
    <t>2) Crediti verso altri enti pubblici</t>
  </si>
  <si>
    <t>B.9.e) altri costi</t>
  </si>
  <si>
    <t>B.10) Ammortamenti e svalutazioni</t>
  </si>
  <si>
    <t>3) Crediti verso soggetti privati</t>
  </si>
  <si>
    <t>B.10.a) Ammortamenti delle immobilizzazioni immateriali</t>
  </si>
  <si>
    <t>B.10.b) Ammortamenti delle immobilizzazioni materiali</t>
  </si>
  <si>
    <t>4) Crediti verso l'Erario</t>
  </si>
  <si>
    <t>B.12) Accantonamenti per rischi e oneri</t>
  </si>
  <si>
    <t>B.12.d) Accantonamenti per rinnovi contrattuali</t>
  </si>
  <si>
    <t>5) Crediti verso altri</t>
  </si>
  <si>
    <t>B.13) Altri accantonamenti</t>
  </si>
  <si>
    <t>B.14) Oneri diversi di gestione</t>
  </si>
  <si>
    <t>Totale crediti</t>
  </si>
  <si>
    <t>14.c) Altri oneri di gestione</t>
  </si>
  <si>
    <t>TOTALE COSTI DELLA PRODUZIONE</t>
  </si>
  <si>
    <t>IV-Disponibilità liquide</t>
  </si>
  <si>
    <t>1) Istituto tesoriere/cassiere</t>
  </si>
  <si>
    <t>3) Denaro e valori in cassa</t>
  </si>
  <si>
    <t>DIFFERENZA TRA VALORE E COSTI DELLA PRODUZIONE</t>
  </si>
  <si>
    <t>Totale disponibilità liquide</t>
  </si>
  <si>
    <t>C) PROVENTI E ONERI FINANZIARI</t>
  </si>
  <si>
    <t>TOTALE ATTIVO CIRCOLANTE</t>
  </si>
  <si>
    <t>C.1) Interessi attivi</t>
  </si>
  <si>
    <t>C.1.a) Interessi attivi su c/c bancario</t>
  </si>
  <si>
    <t>D) RATEI E RISCONTI</t>
  </si>
  <si>
    <t>C.4) Altri oneri finanziari</t>
  </si>
  <si>
    <t>Totale Ratei e Risconti</t>
  </si>
  <si>
    <t>TOTALE PROVENTI E ONERI FINANZIARI</t>
  </si>
  <si>
    <t>TOTALE ATTIVO</t>
  </si>
  <si>
    <t>Risultato prima delle imposte</t>
  </si>
  <si>
    <t>Imposte sul reddito dell'es. Corr. Diff. Ant.</t>
  </si>
  <si>
    <t>PASSIVO</t>
  </si>
  <si>
    <t>A) PATRIMONIO NETTO</t>
  </si>
  <si>
    <t>UTILE (O PERDITA) DELL'ESERCIZIO</t>
  </si>
  <si>
    <t>I – Fondo di dotazione</t>
  </si>
  <si>
    <t>II – Riserve</t>
  </si>
  <si>
    <t>1) Riserva legale</t>
  </si>
  <si>
    <t>2) Riserva vincolata ad investimenti</t>
  </si>
  <si>
    <t>VI – Utili (perdite) d'esercizio</t>
  </si>
  <si>
    <t>Totale Patrimonio Netto</t>
  </si>
  <si>
    <t>B) FONDI PER RISCHI E ONERI</t>
  </si>
  <si>
    <t>ROE</t>
  </si>
  <si>
    <t>1) Fondo per trattamento di quiescenza e obblighi simili</t>
  </si>
  <si>
    <t>2) Fondo per imposte, anche differite</t>
  </si>
  <si>
    <t>3) Altri fondi</t>
  </si>
  <si>
    <t>ROI</t>
  </si>
  <si>
    <t>Totale fondi per rischi e oneri</t>
  </si>
  <si>
    <t>D) DEBITI</t>
  </si>
  <si>
    <t>3) Debiti verso altri soggetti pubblici</t>
  </si>
  <si>
    <t>4) Debiti verso fornitori</t>
  </si>
  <si>
    <t>5) Debiti tributari</t>
  </si>
  <si>
    <t>6) Debiti verso istituti previdenziali</t>
  </si>
  <si>
    <t>9) Altri debiti</t>
  </si>
  <si>
    <t>Totale debiti</t>
  </si>
  <si>
    <t>E) RATEI E RISCONTI</t>
  </si>
  <si>
    <t>Totale ratei e risconti</t>
  </si>
  <si>
    <t>TOTALE PASSIVO</t>
  </si>
  <si>
    <t>RISPARMIO</t>
  </si>
  <si>
    <t>TOTALE COSTO DI PRODUZIONE</t>
  </si>
  <si>
    <t>ammortamenti e svalutazioni</t>
  </si>
  <si>
    <t>costi straordinari e eccezionali</t>
  </si>
  <si>
    <t>costi per autovetture</t>
  </si>
  <si>
    <t>TOTALE COSTO PRODUZIONE RETTIFICATO</t>
  </si>
  <si>
    <t>Saldo al 31.12.2019</t>
  </si>
  <si>
    <t>Variazione</t>
  </si>
  <si>
    <t>Debiti verso altri sogg. pubblici</t>
  </si>
  <si>
    <t>Debiti verso fornitori</t>
  </si>
  <si>
    <t>Debiti tributari</t>
  </si>
  <si>
    <t>Debiti verso Istituti Previdenziali</t>
  </si>
  <si>
    <t>Altri debiti</t>
  </si>
  <si>
    <t>Atto di assegnazione del contributo</t>
  </si>
  <si>
    <t>Anno di contabilizzazione</t>
  </si>
  <si>
    <t>Importo del contributo</t>
  </si>
  <si>
    <t>Importo del contributo registrato nel conto economico degli esercizi precedenti</t>
  </si>
  <si>
    <t>Importo del contributo registrato nel conto economico dell’esercizio</t>
  </si>
  <si>
    <t>Importo del contributo rinviato agli esercizi successivi</t>
  </si>
  <si>
    <t>CNR SWAMM</t>
  </si>
  <si>
    <t>DRT 16802-18_QUALITA-ARIA</t>
  </si>
  <si>
    <t>PROTERINA 3</t>
  </si>
  <si>
    <t>DRT 9357/19 Infrastrutt. SIT</t>
  </si>
  <si>
    <t>DRT 10842/19 geobasi</t>
  </si>
  <si>
    <t>PROFUMO</t>
  </si>
  <si>
    <t>DESCRIZIONE</t>
  </si>
  <si>
    <t>Ricavi per attività di natura commerciale</t>
  </si>
  <si>
    <t>Contributi in c/esercizio da Regione Toscana</t>
  </si>
  <si>
    <t>Contributi in c/esercizio da altri soggetti pubblici</t>
  </si>
  <si>
    <t>Costi sterilizzati da utilizzo contributi per investimenti</t>
  </si>
  <si>
    <t>Altri ricavi e proventi, concorsi recuperi e rimborsi</t>
  </si>
  <si>
    <t>Importo residuo del contributo da registrare nel conto economico degli esercizi successivi</t>
  </si>
  <si>
    <t>REGIONE TOSCANA</t>
  </si>
  <si>
    <t>ALTRI SOGGETTI PUBBLICI</t>
  </si>
  <si>
    <t>PROTERINA3</t>
  </si>
  <si>
    <t>SOGGETTO EROGATORE</t>
  </si>
  <si>
    <t>Regione (contributo ordinario)</t>
  </si>
  <si>
    <t>Regione (contributi straordinari)</t>
  </si>
  <si>
    <t>Comuni</t>
  </si>
  <si>
    <t>Province</t>
  </si>
  <si>
    <t>Altri Soggetti Pubblici</t>
  </si>
  <si>
    <t>DESCRIZIONE IMPOSTA</t>
  </si>
  <si>
    <t>IRAP dipendenti</t>
  </si>
  <si>
    <t>IRAP Amministratore Unico</t>
  </si>
  <si>
    <t>IRAP attività commerciale</t>
  </si>
  <si>
    <t>IRES ATTIVITA' COMMERCIALE</t>
  </si>
  <si>
    <t>Immobilizzazioni Immateriali</t>
  </si>
  <si>
    <t>Immobilizzazioni Materiali</t>
  </si>
  <si>
    <t>ALTRI RICAVI E PROVENTI</t>
  </si>
  <si>
    <t>Rimborso assicurativo</t>
  </si>
  <si>
    <t>Altri ricavi e proventi</t>
  </si>
  <si>
    <t>RUOLO</t>
  </si>
  <si>
    <t>Trattamento di quiescenza e simili</t>
  </si>
  <si>
    <t>Buoni pasto (riclassificato tra il costo per servizi)</t>
  </si>
  <si>
    <t>Altri costi</t>
  </si>
  <si>
    <t>TOTALE COSTO DEL PERSONALE</t>
  </si>
  <si>
    <t>Voce stipendiale</t>
  </si>
  <si>
    <t>IV Livello</t>
  </si>
  <si>
    <t>VI Livello</t>
  </si>
  <si>
    <t>VII Livello</t>
  </si>
  <si>
    <t>VIII Livello</t>
  </si>
  <si>
    <t>Stipendio</t>
  </si>
  <si>
    <t>Indennità ente annuale</t>
  </si>
  <si>
    <t>Indennità ente mensile</t>
  </si>
  <si>
    <t xml:space="preserve">Indennità vacanza contrattuale </t>
  </si>
  <si>
    <t>Tredicesima</t>
  </si>
  <si>
    <t>Oneri contributivi</t>
  </si>
  <si>
    <t>Irap</t>
  </si>
  <si>
    <t xml:space="preserve">Acquisti </t>
  </si>
  <si>
    <t>Servizi</t>
  </si>
  <si>
    <t>Quote di amm.to contr. c/capital</t>
  </si>
  <si>
    <t>Altri costi/ Imposte</t>
  </si>
  <si>
    <t xml:space="preserve">TOTALE COSTI </t>
  </si>
  <si>
    <t>Oneri</t>
  </si>
  <si>
    <t>Voce stipendiale II fascia</t>
  </si>
  <si>
    <t>Indennità per oneri specifici ex art. 8 CCNL/2</t>
  </si>
  <si>
    <t>Valorizzazione professionale ex art. 8 CCNL/2</t>
  </si>
  <si>
    <t>Voce stipendiale III fascia</t>
  </si>
  <si>
    <t>quota di ammortamento per la strumenazione acquistata per le fase di monitoraggio dei corpi idrici regionali</t>
  </si>
  <si>
    <t>21557/19 UMBRIA</t>
  </si>
  <si>
    <t>R&amp;D_CNR-IBIMET</t>
  </si>
  <si>
    <t>PROFUMO-DEM</t>
  </si>
  <si>
    <t>DRT 5379/18 INFRASTRUTTURA SIT</t>
  </si>
  <si>
    <t>DRT 18020/18 CORPI IDRICI</t>
  </si>
  <si>
    <t>DRT 16802/18 QUALITA ARIA</t>
  </si>
  <si>
    <t>SICOMAR-PLUS</t>
  </si>
  <si>
    <t>iscrizione convengni</t>
  </si>
  <si>
    <t>missioni</t>
  </si>
  <si>
    <t>INDENNITA DIP</t>
  </si>
  <si>
    <t>Acc.to fondo turni</t>
  </si>
  <si>
    <t>RESIDUO COMMESSA ANTE IMPOSTE</t>
  </si>
  <si>
    <t>IRES</t>
  </si>
  <si>
    <t>RESIDUO NETTO</t>
  </si>
  <si>
    <t>IRAP</t>
  </si>
  <si>
    <t xml:space="preserve">DRT 11594/17 BALNEAZIONE </t>
  </si>
  <si>
    <t>DRT 13484/18 BALNEAZIONE3</t>
  </si>
  <si>
    <t>Stato attuazione attività</t>
  </si>
  <si>
    <t>Attività conclusa</t>
  </si>
  <si>
    <t>1.03.01.04</t>
  </si>
  <si>
    <t>Crediti per progetti europei</t>
  </si>
  <si>
    <t>2.05.02.20</t>
  </si>
  <si>
    <t xml:space="preserve">Debiti per anticipo progetti </t>
  </si>
  <si>
    <t>Saldo al 31/12/2018</t>
  </si>
  <si>
    <t>saldo errato in quanto mancanti 30784,97 e 129383,65 di sicomar plus utilizzati erroneamente per ricavi prot3 e impact</t>
  </si>
  <si>
    <t>Saldo al 31/12/2017</t>
  </si>
  <si>
    <t>Saldo crediti progetti</t>
  </si>
  <si>
    <t>re-imputazione debito prot3</t>
  </si>
  <si>
    <t>Credito progetto LIFE</t>
  </si>
  <si>
    <t>re-imputazione debito impact</t>
  </si>
  <si>
    <t>Accredito SINAPSI</t>
  </si>
  <si>
    <t xml:space="preserve">al 19.09.2019 ripristinato il saldo corretto del conto con </t>
  </si>
  <si>
    <t>Accredito LIFE</t>
  </si>
  <si>
    <t>saldo al 19/09/2019</t>
  </si>
  <si>
    <t>sicomar plus</t>
  </si>
  <si>
    <t>Perdita su LIFE</t>
  </si>
  <si>
    <t>maregot</t>
  </si>
  <si>
    <t>Rilevazione credito SYMPA</t>
  </si>
  <si>
    <t>sinapsi</t>
  </si>
  <si>
    <t>Accredito SYMPA</t>
  </si>
  <si>
    <t>saldo credit0 Sympa 2018</t>
  </si>
  <si>
    <t>Accredito MEDSTAR per anticipo</t>
  </si>
  <si>
    <t>medstar</t>
  </si>
  <si>
    <t>Rilevazione credito proterina3</t>
  </si>
  <si>
    <t xml:space="preserve">Diminuzione debito MAREGOT per rendicontazioni 2019 </t>
  </si>
  <si>
    <t>Accredito Proterina3</t>
  </si>
  <si>
    <t>saldo Prot3 2018</t>
  </si>
  <si>
    <t>diminuzione debito SICOMAR PLUS per ricavo 2019</t>
  </si>
  <si>
    <t>Rilevazione credito PROFUMO DEM</t>
  </si>
  <si>
    <t xml:space="preserve">saldo profDEM </t>
  </si>
  <si>
    <t>diminuzione debito SINAPSI per ricavo 2019</t>
  </si>
  <si>
    <t>Rilevazione credito SICOMAR PLUS</t>
  </si>
  <si>
    <t xml:space="preserve">saldo SICOMAR PLUS </t>
  </si>
  <si>
    <t>saldo 31/12/2018</t>
  </si>
  <si>
    <t>SALDO AL 31/12/2019</t>
  </si>
  <si>
    <t>Saldo SYMPA</t>
  </si>
  <si>
    <t xml:space="preserve">saldo Sympa </t>
  </si>
  <si>
    <t>Rilevazione credito PROTERINA3</t>
  </si>
  <si>
    <t>Accredito PROTERINA3</t>
  </si>
  <si>
    <t xml:space="preserve">saldo Proterina3 </t>
  </si>
  <si>
    <t>Rilevazione credito IMPACT</t>
  </si>
  <si>
    <t>Accredito IMPACT</t>
  </si>
  <si>
    <t>saldo IMPACT</t>
  </si>
  <si>
    <t>Rilevazione credito MAREGOT per rendicontazioni 2019</t>
  </si>
  <si>
    <t>saldo MAREGOT</t>
  </si>
  <si>
    <t>Credito e ricavo PROFUMO</t>
  </si>
  <si>
    <t>Accredito PROFUMO</t>
  </si>
  <si>
    <t>proterina3 credito e ricavo 2019</t>
  </si>
  <si>
    <t>maregot credito e ricavo 2019</t>
  </si>
  <si>
    <t>GIAS credito e ricavo</t>
  </si>
  <si>
    <t>saldo al 31/12</t>
  </si>
  <si>
    <t xml:space="preserve"> coge</t>
  </si>
  <si>
    <t>RISCONTI PASSIVI</t>
  </si>
  <si>
    <t>2.06.02.01</t>
  </si>
  <si>
    <t>Movimenti 2018</t>
  </si>
  <si>
    <t>Saldo progetto</t>
  </si>
  <si>
    <t>Da reimputare nel 2019 a ricavi (come quote ammortamento sterilizzate)</t>
  </si>
  <si>
    <t>Risconto quota contr. c/capitale SICOMAR</t>
  </si>
  <si>
    <t>Risconto quota contr. c/capitale PROTERINA2</t>
  </si>
  <si>
    <t>DRT 14796/16 Starmet c/capitale</t>
  </si>
  <si>
    <t>DRT 14861/16 Frane Radar c/capitale</t>
  </si>
  <si>
    <t>CNR SWAMM c/capitale</t>
  </si>
  <si>
    <t>Risconto DRT 14710/16 Amianto c/capitale</t>
  </si>
  <si>
    <t>Risconto DRT 18064/17 Corpi idrici c/capitale</t>
  </si>
  <si>
    <t>Risconto DRT 8099/17 Piano coste c/capitale</t>
  </si>
  <si>
    <t>DRT 18020-18_CORPI IDRICI c/capitale</t>
  </si>
  <si>
    <t>DRT 21015-18_UMBRIA-2 c/capitale</t>
  </si>
  <si>
    <t>DRT 16802-18_QUALITA-ARIA c/capitale</t>
  </si>
  <si>
    <t>DRT 5379-18_INFRASTRUTTURA-SIT c/capitale</t>
  </si>
  <si>
    <t>DRT 17633-18-MINERVA c/capitale</t>
  </si>
  <si>
    <t>Quote ammortamento</t>
  </si>
  <si>
    <t>IMPACT c/capitale</t>
  </si>
  <si>
    <t>Contributo c/capitale</t>
  </si>
  <si>
    <t>MAREGOT c/capitale</t>
  </si>
  <si>
    <t>PROTERINA 3 c/capitale</t>
  </si>
  <si>
    <t>Investimenti 2014</t>
  </si>
  <si>
    <t>Investimenti 2015</t>
  </si>
  <si>
    <t>Radar</t>
  </si>
  <si>
    <t>copertura amm.ti sicomar</t>
  </si>
  <si>
    <t>Stazioni meteo</t>
  </si>
  <si>
    <t>movimenti 2019</t>
  </si>
  <si>
    <t>saldo progetto</t>
  </si>
  <si>
    <t>Webcam e radio</t>
  </si>
  <si>
    <t>PC</t>
  </si>
  <si>
    <t xml:space="preserve">OK </t>
  </si>
  <si>
    <t>OK</t>
  </si>
  <si>
    <t>compensazione tra sicomar e proterina2</t>
  </si>
  <si>
    <t>ok</t>
  </si>
  <si>
    <t>su proterina</t>
  </si>
  <si>
    <t>webgis</t>
  </si>
  <si>
    <t>DRT 13484/18 Balneazione</t>
  </si>
  <si>
    <t>Investimenti 2018</t>
  </si>
  <si>
    <t>DRT 16802/18 q. aria</t>
  </si>
  <si>
    <t>Investimenti 2019</t>
  </si>
  <si>
    <t>DRT 11521/19 Terr università</t>
  </si>
  <si>
    <t>DRT 13609/19 Piano cave</t>
  </si>
  <si>
    <t>EU</t>
  </si>
  <si>
    <t>Altri</t>
  </si>
  <si>
    <t>saldo conto</t>
  </si>
  <si>
    <t>DIFF</t>
  </si>
  <si>
    <t>Investimenti 2017</t>
  </si>
  <si>
    <t>DRT 14710/16 AMIANTO</t>
  </si>
  <si>
    <t>Attrezz. Alta tecnol.</t>
  </si>
  <si>
    <t>Licenze</t>
  </si>
  <si>
    <t>Inform. Audiovisivi</t>
  </si>
  <si>
    <t>Investimenti materiali</t>
  </si>
  <si>
    <t>Investimenti Immateriali</t>
  </si>
  <si>
    <t>Importo del contributo   già registrato nel conto economico degli esercizi precedenti</t>
  </si>
  <si>
    <t xml:space="preserve">IMPACT </t>
  </si>
  <si>
    <t>Storage, drone</t>
  </si>
  <si>
    <t xml:space="preserve">hardware CED </t>
  </si>
  <si>
    <t>Server di calcolo</t>
  </si>
  <si>
    <t xml:space="preserve">hardware </t>
  </si>
  <si>
    <t>DRT 21557/19 UMBRIA 2019</t>
  </si>
  <si>
    <t>materiale informatico e audiovisivo</t>
  </si>
  <si>
    <t>Attrezzature istituzionali</t>
  </si>
  <si>
    <t>TOTALI STRAORDINARI</t>
  </si>
  <si>
    <t>Materiali</t>
  </si>
  <si>
    <t>Immateriali</t>
  </si>
  <si>
    <t>Conto co.ge.</t>
  </si>
  <si>
    <t>FONDI</t>
  </si>
  <si>
    <t>Giroconti 2019</t>
  </si>
  <si>
    <t>Utilizzi 2019</t>
  </si>
  <si>
    <t>Fondi per trattamento di quiescenza e simili</t>
  </si>
  <si>
    <t>2.05.06.01</t>
  </si>
  <si>
    <t>Fondo indennità personale Tecnico-Amministrativo</t>
  </si>
  <si>
    <t>2.05.16.05</t>
  </si>
  <si>
    <t>Fondo indennità per respons. Professionale LaMMA</t>
  </si>
  <si>
    <t>2.05.16.09</t>
  </si>
  <si>
    <t>Fondo indennità Turni per servizio Meteo H24 LaMMA</t>
  </si>
  <si>
    <t>2.05.16.12</t>
  </si>
  <si>
    <t>Fondo rinnovo contrattuale dipendenti LaMMA</t>
  </si>
  <si>
    <t>2.05.16.07</t>
  </si>
  <si>
    <t>Fondo Premio Au</t>
  </si>
  <si>
    <t>2.05.16.15</t>
  </si>
  <si>
    <t>Fondo oneri  su indennità dipendenti**</t>
  </si>
  <si>
    <t>Fondo assegni familiari</t>
  </si>
  <si>
    <t>Fondo per imposte anche differite</t>
  </si>
  <si>
    <t>2.05.16.08</t>
  </si>
  <si>
    <t>Fondo Imposte</t>
  </si>
  <si>
    <t>Altri Fondi</t>
  </si>
  <si>
    <t>2.05.16.11</t>
  </si>
  <si>
    <t>F.do previdenziale AU (movimenti solo patrimoniali)</t>
  </si>
  <si>
    <t>TOTALE FONDI</t>
  </si>
  <si>
    <t>Categoria</t>
  </si>
  <si>
    <t>Descrizione dell'intervento</t>
  </si>
  <si>
    <t>Importo programmato</t>
  </si>
  <si>
    <t>% realizzata</t>
  </si>
  <si>
    <t>Importo realizzato</t>
  </si>
  <si>
    <t>Scostamenti %</t>
  </si>
  <si>
    <t>Incasso credito MAREGOT</t>
  </si>
  <si>
    <t>incasso credito GIAS</t>
  </si>
  <si>
    <t>saldo credito GIAS al 23.06.2020</t>
  </si>
  <si>
    <t>Incasso anticipo GIAS (in parte messo come chiusura credito 2019 per 392,32)</t>
  </si>
  <si>
    <t>anticipo GIAS</t>
  </si>
  <si>
    <t>incasso proterina3</t>
  </si>
  <si>
    <t>RT c/capitale</t>
  </si>
  <si>
    <t>RT conto/eserc</t>
  </si>
  <si>
    <t>anticipo SATCROSS</t>
  </si>
  <si>
    <t>anticipo WORLKIMATE</t>
  </si>
  <si>
    <t>anticipo SICOMAR PLUS</t>
  </si>
  <si>
    <t>Investimenti 2020</t>
  </si>
  <si>
    <t>Investimenti 2020 - Hardware</t>
  </si>
  <si>
    <t>Investimenti 2020 - Attr. Alta tecnologia</t>
  </si>
  <si>
    <t>Attr. Alta tecnologia+inform.audiovisivi</t>
  </si>
  <si>
    <t>Hardware</t>
  </si>
  <si>
    <t>Investimenti 2020 (hardware)</t>
  </si>
  <si>
    <t>Investimenti 2020 licenze</t>
  </si>
  <si>
    <t>Investimenti 2019 materiali</t>
  </si>
  <si>
    <t>Investimenti 2019 Immateriali</t>
  </si>
  <si>
    <t>Investimenti 2018 immateriali</t>
  </si>
  <si>
    <t>Investimenti 2020 Immateriali</t>
  </si>
  <si>
    <t>Contributi da RT</t>
  </si>
  <si>
    <t>Contributi da progetti EU</t>
  </si>
  <si>
    <t>Contributi da altri</t>
  </si>
  <si>
    <t>2.05.16.14</t>
  </si>
  <si>
    <t>Saldo al 31/12/2020</t>
  </si>
  <si>
    <t>rilevazione credito IMPACT</t>
  </si>
  <si>
    <t>Incasso credito IMPACT</t>
  </si>
  <si>
    <t>rilevazione credito finale maregot</t>
  </si>
  <si>
    <t>rilevazione credito finale impact</t>
  </si>
  <si>
    <t>rilevazione credito finale PROTERINA 3</t>
  </si>
  <si>
    <t>saldo credito proterina 3 al 31.12.2020</t>
  </si>
  <si>
    <t>saldo credito maregot al 31.12.2020</t>
  </si>
  <si>
    <t>saldo credito IMPACT al 31.12.2020</t>
  </si>
  <si>
    <t>rilevazione ricavi 2020 SICOMAR PLUS</t>
  </si>
  <si>
    <t>rilevazione ricavi 2020 GIAS</t>
  </si>
  <si>
    <t>rilevazione credito e ricavo GIAS 2020</t>
  </si>
  <si>
    <t>rilevazione ricavi SINAPSI</t>
  </si>
  <si>
    <t>rilevazione credito e ricavo SINAPSI  2020</t>
  </si>
  <si>
    <t>rilevazione ricavi MEDSTAR</t>
  </si>
  <si>
    <t>rilevazione credito e ricavo MEDSTAR  2020</t>
  </si>
  <si>
    <t>DRT 14861/16 FRANE RADAR (comm.90)</t>
  </si>
  <si>
    <t>DRT 14796/16 STARMET ARCETRI (comm 89)</t>
  </si>
  <si>
    <t>DRT 14710/16 AMIANTO (comm 92)</t>
  </si>
  <si>
    <t>CNR SWAMM (COMM 98)</t>
  </si>
  <si>
    <t>DRT 8099/17 PIANO COSTE (comm 102)</t>
  </si>
  <si>
    <t>DRT 18064/17 CORPI IDRICI CC (comm 108)</t>
  </si>
  <si>
    <t>DRT 17633-18-MINERVA (comm 101)</t>
  </si>
  <si>
    <t>DRT 5379-18_INFRASTRUTTURA-SIT (comm 119)</t>
  </si>
  <si>
    <t>DRT 16802-18_QUALITA-ARIA (comm. 125)</t>
  </si>
  <si>
    <t>DRT 21015-18_UMBRIA-2 (comm 133)</t>
  </si>
  <si>
    <t>DRT 18020-18_CORPI IDRICI (comm 129)</t>
  </si>
  <si>
    <t>PROFUMO DEM (comm 110)</t>
  </si>
  <si>
    <t>DRT 13484/18 BALNEAZIONE PLUS (comm 123)</t>
  </si>
  <si>
    <t>DRT 10842/19 GEOBASI (comm 146)</t>
  </si>
  <si>
    <t>AIT (comm 95)</t>
  </si>
  <si>
    <t>DRT 21557/19 UMBRIA 2019 (comm 157)</t>
  </si>
  <si>
    <t>DRT 13609/19 PIANO CAVE (comm 149)</t>
  </si>
  <si>
    <t>DRT 4456/19 AGROMETEO (comm 138)</t>
  </si>
  <si>
    <t>DRT 9357/19 INFRASTRUTTURA SIT (comm 147)</t>
  </si>
  <si>
    <t>DRT 11594/17 BALNEAZIONE (comm 103)</t>
  </si>
  <si>
    <t>DRT 11521/19 TERRITORIO UNIVERSITA' (comm 148)</t>
  </si>
  <si>
    <t>GIAS (comm 139)</t>
  </si>
  <si>
    <t>SINAPSI (comm 140)</t>
  </si>
  <si>
    <t>Movimenti 2020</t>
  </si>
  <si>
    <t>Diminuzione conto per imputazioni contr. c/capitale</t>
  </si>
  <si>
    <t>saldo progetto al 31.12.2019</t>
  </si>
  <si>
    <t>saldo progetto 31.12.2020</t>
  </si>
  <si>
    <t>Incrementi per risconto ricavi</t>
  </si>
  <si>
    <t>Imputazioni ricavi 2020</t>
  </si>
  <si>
    <t>DRT 14796/16 Starmet-ARCETRI  c/capitale</t>
  </si>
  <si>
    <t>DRT 14710/16 Amianto c/capitale</t>
  </si>
  <si>
    <t>DRT 18064/17 Corpi idrici c/capitale</t>
  </si>
  <si>
    <t>DRT 8099/17 Piano coste c/capitale</t>
  </si>
  <si>
    <t>IMPACT RICAVO C/ESERCIZIO</t>
  </si>
  <si>
    <t xml:space="preserve">ok </t>
  </si>
  <si>
    <t>SALDO AL 31.12.2020</t>
  </si>
  <si>
    <t>rilevazione credito e ricavo PROFUMO DEM</t>
  </si>
  <si>
    <t>SALDO MOVIMENTI</t>
  </si>
  <si>
    <t>DIFFER</t>
  </si>
  <si>
    <t>DRT 14627/20 PIANO COSTE</t>
  </si>
  <si>
    <t>risconto ricavo c/esercizio, no c/capitale</t>
  </si>
  <si>
    <t>DRT 21775/20 UMBRIA 2020</t>
  </si>
  <si>
    <t>rilevazione credito e ricavo SHAREMED 2020</t>
  </si>
  <si>
    <t>13256/20 GEOLOGIA</t>
  </si>
  <si>
    <t>SERVIZI</t>
  </si>
  <si>
    <t>RICAVI C/CAPITALE</t>
  </si>
  <si>
    <t>RICAVI C/ESERCIZIO</t>
  </si>
  <si>
    <t>SATCROSS</t>
  </si>
  <si>
    <t xml:space="preserve">DRT21775/20 UMBRIA </t>
  </si>
  <si>
    <t>DRT 13256/20 GEOLOGIA</t>
  </si>
  <si>
    <t>WORKLIMATE</t>
  </si>
  <si>
    <t>BALNEAZIONE PLUS 2018</t>
  </si>
  <si>
    <t>BALNEAZIONE 2017</t>
  </si>
  <si>
    <t>c/esercizio</t>
  </si>
  <si>
    <t>c/capitale</t>
  </si>
  <si>
    <t>RT</t>
  </si>
  <si>
    <t>COMMERCIALE</t>
  </si>
  <si>
    <t>ALTRI SOGGETTI</t>
  </si>
  <si>
    <t>compenso</t>
  </si>
  <si>
    <t>irap</t>
  </si>
  <si>
    <t>Oneri su retribuzioni</t>
  </si>
  <si>
    <t>TFR dipendenti</t>
  </si>
  <si>
    <t>Importo contratto 5 anni</t>
  </si>
  <si>
    <t>Accantonamento indennità turni meteo in parte straordinari</t>
  </si>
  <si>
    <t>Competenza annua</t>
  </si>
  <si>
    <t>Accantonamento accessorio ricercatori in parte straordinari</t>
  </si>
  <si>
    <t>Oneri su indennità</t>
  </si>
  <si>
    <t>IRAP su indennità</t>
  </si>
  <si>
    <t>Amministratore Unico senza IRAP</t>
  </si>
  <si>
    <t>Personale CNR</t>
  </si>
  <si>
    <t>TOTALE ORDINARIO</t>
  </si>
  <si>
    <t>DEBITI VERSO CNR IBE</t>
  </si>
  <si>
    <t>ACCORDO IBE 2020</t>
  </si>
  <si>
    <t>DEBITI VERSO UNIPI</t>
  </si>
  <si>
    <t>accordo coll. UNIPI DRT 11521/19</t>
  </si>
  <si>
    <t>comp. 2020</t>
  </si>
  <si>
    <t>comp 2019</t>
  </si>
  <si>
    <t>saldo al 31/12/2020</t>
  </si>
  <si>
    <t>SALDO SICOMAR PLUS</t>
  </si>
  <si>
    <t>SALDO WORKLIMATE</t>
  </si>
  <si>
    <t>SALDO SATCROSS</t>
  </si>
  <si>
    <t>Investimenti 2020 immateriali</t>
  </si>
  <si>
    <t>x</t>
  </si>
  <si>
    <t>rt</t>
  </si>
  <si>
    <t>eu</t>
  </si>
  <si>
    <t>altri</t>
  </si>
  <si>
    <t>Fondo indennità c/terzi</t>
  </si>
  <si>
    <t xml:space="preserve">Servizi tecnici </t>
  </si>
  <si>
    <t>Servizi resi dal socio CNR attraverso accordi e collaborazioni</t>
  </si>
  <si>
    <t xml:space="preserve">DRT 14627/20 PIANO COSTE </t>
  </si>
  <si>
    <t xml:space="preserve">DRT 21775/20 UMBRIA </t>
  </si>
  <si>
    <t>Il decreto prevede 143.500 per il 2020 e 35.875 per il 2021</t>
  </si>
  <si>
    <t>Importo del contributo C/ESERCIZIO</t>
  </si>
  <si>
    <t>DRT 11521/19 TERRITORIO UNIVERSITA</t>
  </si>
  <si>
    <t>Hardware, licenze, alta tecnologia</t>
  </si>
  <si>
    <t>Accantonamento Fondo</t>
  </si>
  <si>
    <t>Copertura</t>
  </si>
  <si>
    <t>Acc.to indennità personale tecnico -amm.vo</t>
  </si>
  <si>
    <t>Acc.to responsabilità professionali</t>
  </si>
  <si>
    <t>Acc.to per turni H24 servizio meteo</t>
  </si>
  <si>
    <t>Attività commerciale</t>
  </si>
  <si>
    <t>Contributi straordinari</t>
  </si>
  <si>
    <t>Contributo ordinario</t>
  </si>
  <si>
    <t>Accordi collaborazione CNR</t>
  </si>
  <si>
    <t>Attrezzatura alta tecnologia</t>
  </si>
  <si>
    <t>DRT 17633/18 MINERVA</t>
  </si>
  <si>
    <t>Tab. 10</t>
  </si>
  <si>
    <t>Acquisizione della nuova infrastruttura di storage ad alte prestazioni</t>
  </si>
  <si>
    <t>SICOMAR PLUS (comm 118)</t>
  </si>
  <si>
    <t>Investimenti 2021</t>
  </si>
  <si>
    <t>Attrezzature alta tecnologia</t>
  </si>
  <si>
    <t>rilevazione credito e ricavo SINAPSI 2021</t>
  </si>
  <si>
    <t>rilevazione credito e ricavo MEDSTAR 2021</t>
  </si>
  <si>
    <t>saldo progetti</t>
  </si>
  <si>
    <t xml:space="preserve">Incasso SICOMAR PLUS </t>
  </si>
  <si>
    <t>saldo debito per SICOMAR PLUS PER ANTICIPI</t>
  </si>
  <si>
    <t>rilevazione credito e ricavo 2021 sharemed</t>
  </si>
  <si>
    <t>MOVIMENTI 2021</t>
  </si>
  <si>
    <t>saldo progetto al 31.12.2020</t>
  </si>
  <si>
    <t>Imputazioni ricavi 2021</t>
  </si>
  <si>
    <t>saldo progetto 31.12.2021</t>
  </si>
  <si>
    <t>Rilevazione credito e ricavo 2021 Sharemed (08.11)</t>
  </si>
  <si>
    <t>Incasso anticipo SCORE</t>
  </si>
  <si>
    <t>Diminuzione debito SICOMAR PLUS per imputazione ricavi 2021</t>
  </si>
  <si>
    <t>Saldo al 31/12/2021</t>
  </si>
  <si>
    <t>da distribuire tecnici</t>
  </si>
  <si>
    <t>da distribuire ricercatori</t>
  </si>
  <si>
    <t>2.05.16.16</t>
  </si>
  <si>
    <t>saldo sicomar plus</t>
  </si>
  <si>
    <t>SALDO ANTICIPO SCORE</t>
  </si>
  <si>
    <t>rilevazione credito e ricavo 2021 Profumo dem</t>
  </si>
  <si>
    <t>rilevazione credito e ricavo 2021 Satcross</t>
  </si>
  <si>
    <t>ACCREDITO SALDO MAREGOT</t>
  </si>
  <si>
    <t>Rilev. Credito SICOMAR PLUS</t>
  </si>
  <si>
    <t>ACCREDITO Incasso GIAS 2021</t>
  </si>
  <si>
    <t>ACCREDITO Incasso SHAREMED (2 movimenti)</t>
  </si>
  <si>
    <t>ACCREDITO Incasso SINAPSI</t>
  </si>
  <si>
    <t>ACCREDITO MEDSTAR</t>
  </si>
  <si>
    <t>ACCREDITO Incasso sharemed</t>
  </si>
  <si>
    <t>ACCREDITO Incasso Sharemed (09.11)</t>
  </si>
  <si>
    <t>ACCREDITO INCASSO SALDO IMPACT</t>
  </si>
  <si>
    <t>ACCREDITO SINAPSI</t>
  </si>
  <si>
    <t>SALDO AL 31.12.2021</t>
  </si>
  <si>
    <t>Diminuzione debito SCORE per ricavi 2021</t>
  </si>
  <si>
    <t>Diminuzione debito SATCROSS per ricavi 2021</t>
  </si>
  <si>
    <t>Attrezz+Informatica</t>
  </si>
  <si>
    <t>DRT 11278/21 TERRITORIO</t>
  </si>
  <si>
    <t>rilevazione credito e ricavo 2021 WORKLIMATE</t>
  </si>
  <si>
    <t>rilevazione credito e ricavo 2021 SICOMAR PLUS</t>
  </si>
  <si>
    <t>rilevazione credito e ricavo 2021 SHAREMED</t>
  </si>
  <si>
    <t>RISCONTI ATTIVI</t>
  </si>
  <si>
    <t>Con. UniTorino competenza 2022</t>
  </si>
  <si>
    <t>Accordo ISMAR competenza 2022</t>
  </si>
  <si>
    <t>Assicurazione competenza 2022</t>
  </si>
  <si>
    <t>IGER.COM</t>
  </si>
  <si>
    <t>Accordo IGG competenza 2022</t>
  </si>
  <si>
    <t>Assicurazione drone 2022</t>
  </si>
  <si>
    <t>Manutenzione vmWare</t>
  </si>
  <si>
    <t>manutenzione firewall (da imputare 2021 per 2955,81)</t>
  </si>
  <si>
    <t>saldo accordo IBE 2020</t>
  </si>
  <si>
    <t>Accordo IBE 2021</t>
  </si>
  <si>
    <t>I tranche 2021</t>
  </si>
  <si>
    <t>II tranche 2021</t>
  </si>
  <si>
    <t>saldo al 31/12/2021</t>
  </si>
  <si>
    <t>Personale LaMMA (stipendi e oneri)</t>
  </si>
  <si>
    <t>Retribuzioni dipendenti</t>
  </si>
  <si>
    <t>Medico del lavoro</t>
  </si>
  <si>
    <t>Per 4 anni dal 2020</t>
  </si>
  <si>
    <t xml:space="preserve">Manutenzioni rete radar meteo </t>
  </si>
  <si>
    <t xml:space="preserve">Sorveglianza Sanitaria del personale </t>
  </si>
  <si>
    <t>Servizio tesoreria</t>
  </si>
  <si>
    <t>Accordi di collaborazione</t>
  </si>
  <si>
    <t>IIT</t>
  </si>
  <si>
    <t xml:space="preserve">MISSIONI </t>
  </si>
  <si>
    <t xml:space="preserve">Indennità presidente Collegio Revisori </t>
  </si>
  <si>
    <t xml:space="preserve">Indennità Membro 1 </t>
  </si>
  <si>
    <t xml:space="preserve">Indennità Membro 2 </t>
  </si>
  <si>
    <t xml:space="preserve">V Livello  </t>
  </si>
  <si>
    <t>TD</t>
  </si>
  <si>
    <t>TABELLA CIRCOLARE MEF-2006</t>
  </si>
  <si>
    <t>Voce di costo</t>
  </si>
  <si>
    <t>Salari e stipendi</t>
  </si>
  <si>
    <t>Oneri contributivi (compreso TFR)</t>
  </si>
  <si>
    <t>Costo categorie protette</t>
  </si>
  <si>
    <t>Costo personale cofinanziato con risorse comunitarie e privati</t>
  </si>
  <si>
    <t xml:space="preserve">COSTO PERSONALE </t>
  </si>
  <si>
    <t>Acc.to fondo indennità</t>
  </si>
  <si>
    <t>PERSONALE (comprese indennità)</t>
  </si>
  <si>
    <t>WEBGIS</t>
  </si>
  <si>
    <t>DRT 21775/20 UMBRIA</t>
  </si>
  <si>
    <t>TAUW</t>
  </si>
  <si>
    <t>SCORE</t>
  </si>
  <si>
    <t>AMBIENTE SPA</t>
  </si>
  <si>
    <t>GEOBASI 2019</t>
  </si>
  <si>
    <t>QUALITA ARIA DRT 16802/18</t>
  </si>
  <si>
    <t>UMBRIA DRT 21557/19</t>
  </si>
  <si>
    <t>PIANO CAVE DRT 13609/19</t>
  </si>
  <si>
    <t>file</t>
  </si>
  <si>
    <t>INFRASTRUTTURA SIT 9357/19</t>
  </si>
  <si>
    <t>TERRITORIO DRT 11521/19</t>
  </si>
  <si>
    <t>Decreto Regione Toscana</t>
  </si>
  <si>
    <t>Attrezz. Alta Tecnologia</t>
  </si>
  <si>
    <t>Attrezzature, Informatica audiovis.</t>
  </si>
  <si>
    <t>Crediti per acconto IRES</t>
  </si>
  <si>
    <t>IRES 2021 da dichiarazione</t>
  </si>
  <si>
    <t>Acconti per IRES 2021</t>
  </si>
  <si>
    <t>Crediti per acconti IRAP</t>
  </si>
  <si>
    <t>IRAP da dichiarazione</t>
  </si>
  <si>
    <t>Acconti per IRAP 2021</t>
  </si>
  <si>
    <t>Entro</t>
  </si>
  <si>
    <t>Oltre</t>
  </si>
  <si>
    <t>5 anni</t>
  </si>
  <si>
    <t>Verso Regione</t>
  </si>
  <si>
    <t>Verso l’Erario e/o tributari</t>
  </si>
  <si>
    <t>Verso altri</t>
  </si>
  <si>
    <t>CREDITI</t>
  </si>
  <si>
    <t>ACCREDITO INCASSO SALDO PROTERINA 3 + chiusura con sopravv.</t>
  </si>
  <si>
    <t>Incrementi</t>
  </si>
  <si>
    <t>Decrementi</t>
  </si>
  <si>
    <t>I. Fondo di dotazione</t>
  </si>
  <si>
    <t xml:space="preserve">II. Riserve </t>
  </si>
  <si>
    <t xml:space="preserve">   1) Riserva legale</t>
  </si>
  <si>
    <t xml:space="preserve">   2) Riserve vincolate ad investimenti</t>
  </si>
  <si>
    <t xml:space="preserve">    3) Altre riserve</t>
  </si>
  <si>
    <t>III. Donazioni e lasciti</t>
  </si>
  <si>
    <t>IV. Utili (perdite) portati a nuovo</t>
  </si>
  <si>
    <t xml:space="preserve"> V. Utile (perdita) dell'esercizio</t>
  </si>
  <si>
    <t>PATRIMONIO  NETTO</t>
  </si>
  <si>
    <t>DEBITI</t>
  </si>
  <si>
    <t>Fondo</t>
  </si>
  <si>
    <t>Indennità dip. Tecnici-amministrativi</t>
  </si>
  <si>
    <t>Indennità per lavoro in turni personale LaMMA e CNR</t>
  </si>
  <si>
    <t>Indennità per responsabilità professionale</t>
  </si>
  <si>
    <t xml:space="preserve">Premio produttività Amministratore Unico </t>
  </si>
  <si>
    <t>Fondo oneri su indennità dipendenti</t>
  </si>
  <si>
    <t>Fondo Assegni familiari</t>
  </si>
  <si>
    <t>Fondo rinnovi contrattuali</t>
  </si>
  <si>
    <t xml:space="preserve">Fondo Imposte </t>
  </si>
  <si>
    <t>Fondo previdenziale AU</t>
  </si>
  <si>
    <t>14.b) Accantonamenti per imposte, anche differite</t>
  </si>
  <si>
    <t>Saldo al 31.12.2021</t>
  </si>
  <si>
    <t>RISCONTI PER CONTIBUTI IN C/ESERCIZIO</t>
  </si>
  <si>
    <t>Il decreto è triennale 2020-2022 con € 40.000 annui. Nel 2020 sono stati riscontati € 27.411 e rimandati al 2021. I contributi previsti per il 2021 quindi sono € 67.411 di cui € 19.649 in c/capitale, perciò € 60.351</t>
  </si>
  <si>
    <t>Il decreto è biennale: 160.000 € nel 2020 e € 30.000 nel 2021. Dei 160.000 del 2020, 149.170 sono stati riscontati a fine 2020, ai quali si sommano i 30.000 previsti, per un totale di € 179.170, di cui € 26.383 in c/capitale</t>
  </si>
  <si>
    <t>Giroconto per accredito GIAS</t>
  </si>
  <si>
    <t>Diminuzione debito per ricavo 2021 GIAS</t>
  </si>
  <si>
    <t>debito GIAS</t>
  </si>
  <si>
    <t>giroconto a debito per MEDSTAR</t>
  </si>
  <si>
    <t>Giroconto per accredito MEDSTAR</t>
  </si>
  <si>
    <t>debito MEDSTAR</t>
  </si>
  <si>
    <t>RISCONTI PER CONTRIBUTI IN C/CAPITALE (vedi sheet conto capitale)</t>
  </si>
  <si>
    <t>SALDO AL 31/12/21</t>
  </si>
  <si>
    <t xml:space="preserve">Si precisa che per questo progetto, l'importo indicato in tabella equivale al budget approvato per spese in c/esercizio che da solo non da il diritto al ricavo e all'incasso: diritto che nasce solo dopo lo svolgimento delle attività e le relative rendicontazioni certificate. Si sottolinea inoltre che questo importo non è stato contabilmente riscontato, in quanto sarà imputato nel corso del 2022. </t>
  </si>
  <si>
    <t>TOTALE REGIONE TOSCANA</t>
  </si>
  <si>
    <t>TOTALE ALTRI SOGGETTI PUBBLICI</t>
  </si>
  <si>
    <t>Saldo al 31/12/21</t>
  </si>
  <si>
    <t>n. 8 Tecnico-amministrativi (Irap esclusa)</t>
  </si>
  <si>
    <t>di cui n. 2 a tempo determinato</t>
  </si>
  <si>
    <t>n. 21 Ricercatori (Irap esclusa)</t>
  </si>
  <si>
    <t>di cui n. 3 a tempo determinato</t>
  </si>
  <si>
    <t>6.321 Contributo ordinario</t>
  </si>
  <si>
    <t>9.679 Contributi straordinari</t>
  </si>
  <si>
    <t>IRAP Prestazioni occasionali</t>
  </si>
  <si>
    <t>Acc.to IRAP attività commerciale</t>
  </si>
  <si>
    <t>Acc.to IRES ATTIVITA' COMMERCIALE</t>
  </si>
  <si>
    <t>tab2</t>
  </si>
  <si>
    <t>RESIDUO ANTE IMPOSTE</t>
  </si>
  <si>
    <t>Tab 5</t>
  </si>
  <si>
    <t>tab8</t>
  </si>
  <si>
    <t>DRT 13609/19 PIANOCAVE</t>
  </si>
  <si>
    <t>DRT 21015/18 UMBRIA-2</t>
  </si>
  <si>
    <t>DRT 11521/19 TERR UNIVERSITA'</t>
  </si>
  <si>
    <t>DRT 9357/19 TERRITORIO</t>
  </si>
  <si>
    <t xml:space="preserve">quota di ammortamento per la strumenazione acquistata </t>
  </si>
  <si>
    <t xml:space="preserve">quota di ammortamento per la strumenazione acquistata per l'attività </t>
  </si>
  <si>
    <t>Attrezzature istituzionali e commerciali</t>
  </si>
  <si>
    <t>INVESTIMENTI PROGRAMMATI NEGLI ESERCIZI PRECEDENTI</t>
  </si>
  <si>
    <t xml:space="preserve">DRT 21775/20 Umbria </t>
  </si>
  <si>
    <t>RISPARMIO COSTI DI PRODUZIONE</t>
  </si>
  <si>
    <t>risconto di 38.322,47 per ricavo c/esercizio da rimandare al 2022</t>
  </si>
  <si>
    <t>20.988,16 c/capitale</t>
  </si>
  <si>
    <t>Sopravvenienze attive</t>
  </si>
  <si>
    <t>Sopravvenienze passive</t>
  </si>
  <si>
    <t>quota di ammortamento del progetto IMPACT relativa agl acquisti legati alla rete di monitroaggio dei radar HF.</t>
  </si>
  <si>
    <t>quota di ammortamento del progetto PROTERINA-3E relativa agl acquisti legati all'infrastruttura GNSS.</t>
  </si>
  <si>
    <t>quota di ammortamento della strumentazione acquistata</t>
  </si>
  <si>
    <t xml:space="preserve">Primi attività di avvio di progetto con la partecipazione ai vari meeting di progetto sia in remoto che in presenza. </t>
  </si>
  <si>
    <t>quota di ammortamento del progetto MAREGOTrelativa agl acquisti legati alla strumentazione hardware e software acquistata</t>
  </si>
  <si>
    <t>E' proseguito il supporto alla Regione Toscana nella realizzazione del bollettino per il rischio incendi boschivi a supporto della sala operativa della protezione civile regionale</t>
  </si>
  <si>
    <t xml:space="preserve">Prosecuzione dell'attività legata all'emissione di un bollettino meteorologico, dedicato alla componente agrometeorologica (principalmente dedicato a temperature e precipitazioni). Il bollettino è di supporto al Servizio Fitosanitario regionale per le valutazioni sullo sviluppo delle colture e delle fitopatologie ad esse associate e per allertare e supportare gli agricoltori nelle decisioni che riguardano la protezione integtata obbligatoria delle colture dagli agenti meteorologici e fitopatologici </t>
  </si>
  <si>
    <t>Verso soggetti privati</t>
  </si>
  <si>
    <t>Accredito worklimate</t>
  </si>
  <si>
    <t>Accredito Sharemed</t>
  </si>
  <si>
    <t>Accredito GIAS</t>
  </si>
  <si>
    <t>rilevazione credito Satcross</t>
  </si>
  <si>
    <t>Accredito saldo Satcross</t>
  </si>
  <si>
    <t>Accredito sharemed</t>
  </si>
  <si>
    <t>Accredito MEDSTAR</t>
  </si>
  <si>
    <t>Rilevazione ricavo 2022 e credito SICOMAR PLUS</t>
  </si>
  <si>
    <t>Investimenti 2022</t>
  </si>
  <si>
    <t>Alta tecnologia</t>
  </si>
  <si>
    <t>Investimento 2022</t>
  </si>
  <si>
    <t>Saldo al 31/12/2022</t>
  </si>
  <si>
    <t>SALDO AL 31.12.2022</t>
  </si>
  <si>
    <t>Accredito sald0 SICOMAR PLUS</t>
  </si>
  <si>
    <t>Rilevazione credito e ricavo Profumo DEM</t>
  </si>
  <si>
    <t>Accredito PROFUMO DEM</t>
  </si>
  <si>
    <t>Rilevazione crediti e ricavi GIAS</t>
  </si>
  <si>
    <t>Diminuzione debito GIAS per rilev. Ricavo</t>
  </si>
  <si>
    <t>Rilevazione credito e ricavo MEDSTAR</t>
  </si>
  <si>
    <t>Rilevazione credito e ricavo SHAREMED</t>
  </si>
  <si>
    <t>Rilevazione credito e ricavo WORKLIMATE</t>
  </si>
  <si>
    <t>Diminuzione debito WORKLIMATE per rilev. Ricavo 2022</t>
  </si>
  <si>
    <t>Diminuzione debito MEDSTAR per rilev. Ricavo 2022</t>
  </si>
  <si>
    <t>saldo al 31.12.2022</t>
  </si>
  <si>
    <t>Saldo 31.12.2021</t>
  </si>
  <si>
    <t>Movimenti 2022</t>
  </si>
  <si>
    <t>Saldo progetto al 31.12.2021</t>
  </si>
  <si>
    <t>Saldo 31.12.2022</t>
  </si>
  <si>
    <t>da imputare sull'ordinario</t>
  </si>
  <si>
    <t>2342 da imputare sull'ordinario x</t>
  </si>
  <si>
    <t>Diminuzione debito SCORE per ricavi 2022</t>
  </si>
  <si>
    <t xml:space="preserve">Rilevazione credito e ricavo SINAPSI </t>
  </si>
  <si>
    <t>x  diff di 252 positiva</t>
  </si>
  <si>
    <t>IRES 2022 (comp2021 da dich)</t>
  </si>
  <si>
    <t>Acconti per IRES 2022</t>
  </si>
  <si>
    <t>IRAP 2022 (comp2021 da dich)</t>
  </si>
  <si>
    <t>Acconti per IRAP comp 2022</t>
  </si>
  <si>
    <t>caricati sull'ordinario</t>
  </si>
  <si>
    <t>CETENA</t>
  </si>
  <si>
    <t>NEXT GEO</t>
  </si>
  <si>
    <t>VADOLIGURE</t>
  </si>
  <si>
    <t>DAGRI UNIFI</t>
  </si>
  <si>
    <t>NEXT-GEOSOLUTION</t>
  </si>
  <si>
    <t>ORDINARIO</t>
  </si>
  <si>
    <t>STRAORDINARIO</t>
  </si>
  <si>
    <t>AGROMETEO 2019</t>
  </si>
  <si>
    <t>costi per cococo e studi di ricerca e consulenza</t>
  </si>
  <si>
    <t>CONSUNTIVO 2022</t>
  </si>
  <si>
    <t>TRIENNIO 2011-2013</t>
  </si>
  <si>
    <t>Limite stabilito dalla DGR 509/21</t>
  </si>
  <si>
    <t>Accantonamenti a fondi trattamento di quiescenza e simili</t>
  </si>
  <si>
    <t>Rinnovo CCNL Ricerca 2018</t>
  </si>
  <si>
    <t>Passaggio fascia 14 ricercatori gennaio 2015</t>
  </si>
  <si>
    <t>Passaggio fascia 14 ricercatori luglio 2019</t>
  </si>
  <si>
    <t>Passaggio fascia 4 ricercatori gennaio 2021</t>
  </si>
  <si>
    <t>SALDO AL 31/12/22</t>
  </si>
  <si>
    <t xml:space="preserve">DRT 11145/22  ANTINCENDIO </t>
  </si>
  <si>
    <t>DRT 8821/22 AGROMETEO</t>
  </si>
  <si>
    <t>Il decreto è unico triennale e prevede € 40.000 annui. Nel triennio 2020/2022 il contributo è stato così imputato: 100.351 come contr. In c/esercizio e 19.649 come contr. In c/capitale (vedi tabella)</t>
  </si>
  <si>
    <t>DRT 20290/22 IDROGRAFICO</t>
  </si>
  <si>
    <t>DRT 16334/22 MONITORAGGIO COSTA</t>
  </si>
  <si>
    <t>Si precisa che per questo progetto, l'importo indicato in tabella equivale al budget approvato per spese in c/esercizio che da solo non da il diritto al ricavo e all'incasso: diritto che nasce solo dopo lo svolgimento delle attività e le relative rendicontazioni certificate. Il ricavo definitivo è stato stabilito quest'anno a seguito della rendicontazione finale.</t>
  </si>
  <si>
    <t xml:space="preserve">Si precisa che per questo progetto, l'importo indicato in tabella equivale al budget approvato per spese in c/esercizio che da solo non da il diritto al ricavo e all'incasso: diritto che nasce solo dopo lo svolgimento delle attività e le relative rendicontazioni certificate. Si sottolinea inoltre che questo importo non è stato contabilmente riscontato, in quanto sarà imputato nel corso del 2023. </t>
  </si>
  <si>
    <t xml:space="preserve">Si precisa che per questo progetto, l'importo indicato in tabella equivale al budget approvato per spese in c/esercizio che da solo non da il diritto al ricavo e all'incasso: diritto che nasce solo dopo lo svolgimento delle attività e le relative rendicontazioni certificate. Il ricavo definitivo è stato stabilito quest'anno a seguito della rendicontazione finale. </t>
  </si>
  <si>
    <t xml:space="preserve">Si precisa che per questo progetto, l'importo indicato in tabella equivale al budget approvato per spese in c/esercizio che da solo non da il diritto al ricavo e all'incasso: diritto che nasce solo dopo lo svolgimento delle attività e le relative rendicontazioni certificate. </t>
  </si>
  <si>
    <t>Si precisa che per questo progetto, l'importo indicato in tabella equivale al budget approvato per spese in c/esercizio che da solo non da il diritto al ricavo e all'incasso: diritto che nasce solo dopo lo svolgimento delle attività e le relative rendicontazioni certificate. Si sottolinea inoltre che questo importo non è stato contabilmente riscontato, in quanto il ricavo maturerà esercizio per esercizio a seconda dell'attività svolta e rendicontata</t>
  </si>
  <si>
    <t>DAGRI-UNIFI</t>
  </si>
  <si>
    <t>Saldo al 31/12/22</t>
  </si>
  <si>
    <t>Altri noleggi</t>
  </si>
  <si>
    <t>Acc.to indennità dipendenti c/terzi compresi oneri</t>
  </si>
  <si>
    <t>TOTALE IMPOSTE D'ESERCIZIO</t>
  </si>
  <si>
    <t>TOTALE ACC.TO FONDO IMPOSTE</t>
  </si>
  <si>
    <t>6) Immobilizzazioni in corso ed acconti</t>
  </si>
  <si>
    <t>4) Incrementi di immobilizzazioni per lavori interni</t>
  </si>
  <si>
    <t>Debtio per DRT 9869/22 territorio</t>
  </si>
  <si>
    <t>Saldo al 31.12.2022</t>
  </si>
  <si>
    <t>ordinario</t>
  </si>
  <si>
    <t>tab 1</t>
  </si>
  <si>
    <t>Altri accantonamenti</t>
  </si>
  <si>
    <t>Ricavi per incremento immobiliz in corso</t>
  </si>
  <si>
    <t>tab3</t>
  </si>
  <si>
    <t>DRT 20290/22 Demanio idrico</t>
  </si>
  <si>
    <t>DRT 1145/22 Anticendio</t>
  </si>
  <si>
    <t>DRT 8821/22 Agrometeo</t>
  </si>
  <si>
    <t>DRT 16334/22 Piano coste</t>
  </si>
  <si>
    <t>tab 4</t>
  </si>
  <si>
    <t>tab. 6</t>
  </si>
  <si>
    <t>Altri costi -Acc.ti per irnnovo contrattuale</t>
  </si>
  <si>
    <t>Riconciliazione dati di bilancio civilsitico</t>
  </si>
  <si>
    <t>IRAP dipendenti (-)</t>
  </si>
  <si>
    <t>Buoni pasto (-)</t>
  </si>
  <si>
    <t>Costo personale e Tratt. Quiescenza e simili su fondi europei e/o privati (+)</t>
  </si>
  <si>
    <t>Costo categorie protette (+)</t>
  </si>
  <si>
    <t>Passaggi di fascia obbligatori 2015-2019-2021(+)</t>
  </si>
  <si>
    <t>tab 7</t>
  </si>
  <si>
    <t>dettaglio turni</t>
  </si>
  <si>
    <t>Utilizzi  2023</t>
  </si>
  <si>
    <t>Accantonamenti 2023</t>
  </si>
  <si>
    <t>Saldo al 31/12/2023</t>
  </si>
  <si>
    <t>Accredito SINTETIC</t>
  </si>
  <si>
    <t>Accredito SCORE</t>
  </si>
  <si>
    <t>Diminuzione debito per ricavo SINTETIC 2023</t>
  </si>
  <si>
    <t>SALDI</t>
  </si>
  <si>
    <t>SINTETIC</t>
  </si>
  <si>
    <t>Diminuzione debito per ricavo c/esercizio SCORE 2023</t>
  </si>
  <si>
    <t>Rilevazione credito e ricavo 2023 SINAPSI</t>
  </si>
  <si>
    <t>Girconto da credito ACCREDITO SCORE</t>
  </si>
  <si>
    <t>SALDO AL 31.12.2023</t>
  </si>
  <si>
    <t>ok con coge - da distribuire</t>
  </si>
  <si>
    <t>Stipendi</t>
  </si>
  <si>
    <t xml:space="preserve">ok con coge du utilizzare nel 2024 per distribuire residui resp e turni </t>
  </si>
  <si>
    <t>Ricavi 2023</t>
  </si>
  <si>
    <t>AGRONOMICA CB5</t>
  </si>
  <si>
    <t>TERRELOGICHE</t>
  </si>
  <si>
    <t>ARPES SRL</t>
  </si>
  <si>
    <t>GOLAR</t>
  </si>
  <si>
    <t>EROSIONE SUOLI CB3</t>
  </si>
  <si>
    <t>PERGENOVA</t>
  </si>
  <si>
    <t>SNAM</t>
  </si>
  <si>
    <t>CONTO TERZI 2023</t>
  </si>
  <si>
    <t>ok con coge - comprensivo di oneri per distribuzione 2024</t>
  </si>
  <si>
    <t>Investimenti 2023</t>
  </si>
  <si>
    <t>DRT 9869/22 LITOTECNICA</t>
  </si>
  <si>
    <t>Informatica audiovisi</t>
  </si>
  <si>
    <t>Rilevazione sopravvenienza passiva GIAS</t>
  </si>
  <si>
    <t>Giroconto Accredito SCORE a debito per anticipi progetti</t>
  </si>
  <si>
    <t>Diminuzione debito per rilevazione ricavo c/capitale SCORE</t>
  </si>
  <si>
    <t>Chiusura debito litotecnica e rilevazione risconto passivo</t>
  </si>
  <si>
    <t>apertura</t>
  </si>
  <si>
    <t>Accredito Worklimate2</t>
  </si>
  <si>
    <t>WORKLIMATE2</t>
  </si>
  <si>
    <t>DRT 9869/22 LITOTECNICA investimento in corso</t>
  </si>
  <si>
    <t>POA ACQUACENTRO</t>
  </si>
  <si>
    <t>CARTA FORESTALE</t>
  </si>
  <si>
    <t>UMBRIA 20232024</t>
  </si>
  <si>
    <t>INSERITO SUBITO COME VALORE NETTO</t>
  </si>
  <si>
    <t>C/ESERCIZIO</t>
  </si>
  <si>
    <t>SALDO AL 31/12/23</t>
  </si>
  <si>
    <t>Contributi in c/esercizio da Regione Toscana*****</t>
  </si>
  <si>
    <t>Incrementi lavori per imm. In corso</t>
  </si>
  <si>
    <t>31.03.2023</t>
  </si>
  <si>
    <t>Ricavi straordinari</t>
  </si>
  <si>
    <t>Commercialsita+consulente lavoro</t>
  </si>
  <si>
    <t>rinnovati</t>
  </si>
  <si>
    <t>INAIL</t>
  </si>
  <si>
    <t>IRAP TOTALE su retribuzioni</t>
  </si>
  <si>
    <t>Rinnovo CCNL</t>
  </si>
  <si>
    <t>anticipo rinnovo contrattuale</t>
  </si>
  <si>
    <t>Acc. Oneri per capienza fondo - rinnovo ccnl</t>
  </si>
  <si>
    <t>Collegio dei revisori (compresi rimborsi)</t>
  </si>
  <si>
    <t>INDENNITA DIPENDENTI</t>
  </si>
  <si>
    <t>oneri</t>
  </si>
  <si>
    <t>Turni ordinario</t>
  </si>
  <si>
    <t>turni straordinario</t>
  </si>
  <si>
    <t>Manutenzioni ordinarie + Studio Systematica (12.200)</t>
  </si>
  <si>
    <t>Responsabilità ordinario</t>
  </si>
  <si>
    <t>responsabilità straordinario</t>
  </si>
  <si>
    <t xml:space="preserve">Indennità amm.vi </t>
  </si>
  <si>
    <t>SINAPSI + SCORE 1765</t>
  </si>
  <si>
    <t>Progress. Profilo IV tecnico</t>
  </si>
  <si>
    <t>nei tabellari</t>
  </si>
  <si>
    <t>Acc.to fondo progressione economica</t>
  </si>
  <si>
    <t xml:space="preserve">Consulente lavoro+Commercialista </t>
  </si>
  <si>
    <t>Sicurezza sul lavoro</t>
  </si>
  <si>
    <t>Servizi per software contabilità (massimo previsto con ore a consumo)</t>
  </si>
  <si>
    <t>protocollo</t>
  </si>
  <si>
    <t>Muevete</t>
  </si>
  <si>
    <t>spese riunioni</t>
  </si>
  <si>
    <t>IBE</t>
  </si>
  <si>
    <t>ISMAR</t>
  </si>
  <si>
    <t>IAS</t>
  </si>
  <si>
    <t>Quote associative</t>
  </si>
  <si>
    <t>Utenze (telefono, dati, energia elettrica)</t>
  </si>
  <si>
    <t>Altri servizi vari</t>
  </si>
  <si>
    <t>COMPENSO COLLEGIO REVISORI</t>
  </si>
  <si>
    <t>Acquisto beni diversi (cancelleria, arredamenti, materiale informatico)</t>
  </si>
  <si>
    <t>Indennità Presidente Giunta RT Annui lordi</t>
  </si>
  <si>
    <t>rimborsi</t>
  </si>
  <si>
    <t xml:space="preserve">Oneri diversi di gestione </t>
  </si>
  <si>
    <t>Altre spese generali (compresi costi riunioni)</t>
  </si>
  <si>
    <t>Oneri straordinari</t>
  </si>
  <si>
    <t>stipendio base</t>
  </si>
  <si>
    <t>Lamma</t>
  </si>
  <si>
    <t>Cnr</t>
  </si>
  <si>
    <t>A. COORD. 1° LIVELLO</t>
  </si>
  <si>
    <t>Auto (compreso carburante e telepass)</t>
  </si>
  <si>
    <t xml:space="preserve">Oneri contributivi </t>
  </si>
  <si>
    <t>Noleggio Pc, telefoni,ecc</t>
  </si>
  <si>
    <t>A l netto dell'IRAP</t>
  </si>
  <si>
    <t>ACCANTONAMENTO FONDI RISCHI</t>
  </si>
  <si>
    <t>SIMULAZIONE GOZZINI DIPENDENTE</t>
  </si>
  <si>
    <t>Compenso annuo globale</t>
  </si>
  <si>
    <t>Oneri contributivi/previdenziali</t>
  </si>
  <si>
    <t>Premio</t>
  </si>
  <si>
    <t>TOTALE AU DA DIPENDENTE (con TFR!!)</t>
  </si>
  <si>
    <t>utilizzi a compensazione 2023</t>
  </si>
  <si>
    <t>Storno f.do imposte</t>
  </si>
  <si>
    <t>Saldo al 31.12.2023</t>
  </si>
  <si>
    <t>Imputazioni 2023</t>
  </si>
  <si>
    <t>saldo al 31/12/2022</t>
  </si>
  <si>
    <t>pagamento UNIPI</t>
  </si>
  <si>
    <t>DRT 11774-23  ANTINCENDIO</t>
  </si>
  <si>
    <t>DRT 11954-23 CARTA-FORESTALE</t>
  </si>
  <si>
    <t>WEBGIS - CB3</t>
  </si>
  <si>
    <t>DRT 9869-22 TERRITORIO</t>
  </si>
  <si>
    <t>DRT 5995-23 AGROMETEO</t>
  </si>
  <si>
    <t>INAF-STARMET</t>
  </si>
  <si>
    <t>DRT 8472-23 VIA</t>
  </si>
  <si>
    <t>2F VADOLIGURE</t>
  </si>
  <si>
    <t>ACQUACENTRO</t>
  </si>
  <si>
    <t>WORKLIMATE-2</t>
  </si>
  <si>
    <t>AGRONOMICA-CB5</t>
  </si>
  <si>
    <t>AMBIENTE</t>
  </si>
  <si>
    <t>TAUW ITALIA srl</t>
  </si>
  <si>
    <t>ARPES srl</t>
  </si>
  <si>
    <t>GOLAR ltd</t>
  </si>
  <si>
    <t>EROSIONE SUOLI - CB3</t>
  </si>
  <si>
    <t>PER GENOVA</t>
  </si>
  <si>
    <t>WORKLIMATE 1</t>
  </si>
  <si>
    <t xml:space="preserve"> </t>
  </si>
  <si>
    <t>totale</t>
  </si>
  <si>
    <t>UMBRIA 21775/20</t>
  </si>
  <si>
    <t xml:space="preserve">PIANO COSTE </t>
  </si>
  <si>
    <t>TERRITORIO DRT 11278/21</t>
  </si>
  <si>
    <t>straordinario</t>
  </si>
  <si>
    <t>PROFUMODEM</t>
  </si>
  <si>
    <t>TECNICI-AMMINISTRATIVI 2023</t>
  </si>
  <si>
    <t xml:space="preserve">Emolumento Legge di Bilancio 2023 </t>
  </si>
  <si>
    <t>indennità vacanza contrattuale</t>
  </si>
  <si>
    <t>Stipendi Tecnici-Amm.vi</t>
  </si>
  <si>
    <t>RICERCATORI LIVELLO III - III FASCIA</t>
  </si>
  <si>
    <t>2023</t>
  </si>
  <si>
    <t>13ricercatori</t>
  </si>
  <si>
    <t>1 TP 80% per 9 mesi</t>
  </si>
  <si>
    <t>Diff. Tabellari</t>
  </si>
  <si>
    <t xml:space="preserve">Stipendio </t>
  </si>
  <si>
    <t>RICERCATORI LIVELLO III - II FASCIA</t>
  </si>
  <si>
    <t>4 ricercatori</t>
  </si>
  <si>
    <t>Stipendi Ricercatori</t>
  </si>
  <si>
    <t>TOTALE TI LAMMA</t>
  </si>
  <si>
    <t>RICERCATORI LIVELLO III - I FASCIA</t>
  </si>
  <si>
    <t>Voce stipendiale I fascia</t>
  </si>
  <si>
    <t>MESSERI 8 MESI</t>
  </si>
  <si>
    <t>BENDONI 2 MESI</t>
  </si>
  <si>
    <t>MOCALI 1 MESE</t>
  </si>
  <si>
    <t>tabellari+festività non godute</t>
  </si>
  <si>
    <t>coge+errori tabellari</t>
  </si>
  <si>
    <t>diff</t>
  </si>
  <si>
    <t>PERSONALE ORDINARIO</t>
  </si>
  <si>
    <t>STIPENDI TOTALI</t>
  </si>
  <si>
    <t xml:space="preserve">ONERI TOTALI </t>
  </si>
  <si>
    <t>IRAP (al netto dell'IRAP su AU)</t>
  </si>
  <si>
    <t>INDENNITA 2023</t>
  </si>
  <si>
    <t>ONERI</t>
  </si>
  <si>
    <t>UTILIZZATO</t>
  </si>
  <si>
    <t>RESIDUO</t>
  </si>
  <si>
    <t>ONERI SU INDENNITA AMM.VI</t>
  </si>
  <si>
    <t>ONERI SI INDENNITA RESP</t>
  </si>
  <si>
    <t>ONERI SU INDENNITA TURNI</t>
  </si>
  <si>
    <t>ONERI SU ANTICIPO RINNOVO CCNL</t>
  </si>
  <si>
    <t>TOTALE COSTO ONERI IN CIVILISTICO</t>
  </si>
  <si>
    <t>genn</t>
  </si>
  <si>
    <t>febbr</t>
  </si>
  <si>
    <t>dicembre</t>
  </si>
  <si>
    <t>anticipo rinnovo ccnl</t>
  </si>
  <si>
    <t>festività non godute</t>
  </si>
  <si>
    <t>Credito al 31/12/2023</t>
  </si>
  <si>
    <t>VIA</t>
  </si>
  <si>
    <t>Prev. 2023</t>
  </si>
  <si>
    <t>DRT 9869/22 Litotecnica</t>
  </si>
  <si>
    <t>DRT 11954/23 Carta forestale</t>
  </si>
  <si>
    <t>DRT 6154/23 UMBRIA</t>
  </si>
  <si>
    <t>DRT 6154/23 Supporto servizio meteo Umbria</t>
  </si>
  <si>
    <t>DRT 11774/23 Antincendio</t>
  </si>
  <si>
    <t>DRT 5995/23</t>
  </si>
  <si>
    <t>CONTRIBUTI C/ESERCIZIO DA ALTRI SOGGETTI PUBBLICI</t>
  </si>
  <si>
    <t>CONTRIBUTI C/CAPITALE</t>
  </si>
  <si>
    <t>CONTRIBUTI STRAORDINARI C/ESERCIZIO RT</t>
  </si>
  <si>
    <t>CONSUNTIVO 2023</t>
  </si>
  <si>
    <t xml:space="preserve">Rinnovo CCNL Ricerca 2022 </t>
  </si>
  <si>
    <t xml:space="preserve">Anticipo rinnovo CCNL </t>
  </si>
  <si>
    <t>Costi per formazione</t>
  </si>
  <si>
    <t>Emolumenti di legge</t>
  </si>
  <si>
    <t>TOTALE COSTO DEL PERSONALE 2023</t>
  </si>
  <si>
    <t>Rinnovi contrattuali e altre erogazioni di legge  (+)</t>
  </si>
  <si>
    <t>Costi per formazione del personale (+)</t>
  </si>
  <si>
    <t xml:space="preserve"> Differenza  2022- TRIENNIO 2011-2013 </t>
  </si>
  <si>
    <t xml:space="preserve"> Differenza  2022 - Limite DGR 509/21 </t>
  </si>
  <si>
    <t xml:space="preserve"> Differenza  2023- TRIENNIO 2011-2013 </t>
  </si>
  <si>
    <t xml:space="preserve"> Differenza  2023 - Limite DGR 509/21 </t>
  </si>
  <si>
    <t>costo per il personale (tabella MEF)</t>
  </si>
  <si>
    <t xml:space="preserve">Risparmio rispetto all'investimento programmato aootenuto in sede di gara di appalto. </t>
  </si>
  <si>
    <t>Si precisa che è stata utilizzata la riserva vincolata destinata ad investimenti, che al 31.12.2023 quindi risulta disponibile per un importo pari a € 385.147</t>
  </si>
  <si>
    <t>Attrezzature sala meteo</t>
  </si>
  <si>
    <t>Webcam</t>
  </si>
  <si>
    <t>Switch e server</t>
  </si>
  <si>
    <t>quota di ammortamento del progetto PROFUMO-DEM relativa agl acquisti legati agli strumenti di calcolo e misura.</t>
  </si>
  <si>
    <t>quota di ammortamento del progetto GIAS relativa agl acquisti legati agli strumenti di calcolo e misura.</t>
  </si>
  <si>
    <t>quota di ammortamento del progetto SICOMAR-PLUS relativa agl acquisti legati agli strumenti di calcolo e misura.</t>
  </si>
  <si>
    <t>quota di ammortamento del progetto MEDSTAR relativa agl acquisti legati agli strumenti di calcolo e misura.</t>
  </si>
  <si>
    <t>nell'ambito del Progetto SINAPSI è proseguita sia la componente amministrativa di gestione del progetto e la chiusura di tutte le attività tecniche relativealla componente modellistica necessaria alla realizzazione di tutti i prodotti previsti dal progetto</t>
  </si>
  <si>
    <t>partecipazione all'evento finale di progetto rimandato al 2023 per questioni organizzative dell'ente organizzatore.</t>
  </si>
  <si>
    <t>Realizzazione delle attività previste dall'accordo con Regione Toscana e Autorità di bacino sulla Caratterizzazione e monitoraggio idromorfologico dei corpi idrici superficiali di interesse per la pianificazione regionale e distrettuale.</t>
  </si>
  <si>
    <t>Realizzazione delle attività relative alla predisposizione della Carta Forestale regionale con le azioni di avvio. Le attività non si sono concluse e la fase più operative è stata rimandata al 2024.</t>
  </si>
  <si>
    <t>Supporto al centro funzionale della regione Umbria in ambito di previsione meteorologica</t>
  </si>
  <si>
    <t>realizzazione della carta Litotecnica per le province di Grosseto, Livorno e Pisa</t>
  </si>
  <si>
    <t>GDAGRI-UNIFI</t>
  </si>
  <si>
    <t>conclusione delle attività relative all'accordo per le attività meteo-climatiche in ambito zoologico</t>
  </si>
  <si>
    <t>Supporto alla redazione del Capitolato e alla Gara per l’aggiudicazione dello sviluppo di un software applicativo per la VIA</t>
  </si>
  <si>
    <t>avvio delle attività del progetto per lo studio e la progettazione della banca dati per il tracciamento della filiera legno</t>
  </si>
  <si>
    <t xml:space="preserve">Fornitura di PC mobili e fissi </t>
  </si>
  <si>
    <t>Altri beni - Macchinari d'ufficio e hardware</t>
  </si>
  <si>
    <t>Investimento realizzato con un risparmio rispetto a quanto programmato</t>
  </si>
  <si>
    <t>Fondi europei</t>
  </si>
  <si>
    <t>Investimento che si concluderà nel 2024</t>
  </si>
  <si>
    <t>Fondi europei - SCORE - e Fondi straordinari regionali -DRT 11954/23 e DRT 9869/22</t>
  </si>
  <si>
    <t>Fondo ordinario e straordinario regionale DRT 9869/22</t>
  </si>
  <si>
    <t>Investimento non realizzato</t>
  </si>
  <si>
    <t>Acc.to indennità dipendenti</t>
  </si>
  <si>
    <t>Acc.to IRES</t>
  </si>
  <si>
    <t>Acc.to Irap</t>
  </si>
  <si>
    <t>PROVENTI STRAORDINARI E FINANZIARI</t>
  </si>
  <si>
    <t>COSTI PER ACQUISTI</t>
  </si>
  <si>
    <t>COSTO DEL PERSONALE</t>
  </si>
  <si>
    <t>COSTI PER GODIMENTO BENI DI TERZI</t>
  </si>
  <si>
    <t>IMPOSTE E TASSE</t>
  </si>
  <si>
    <t>da verificare e eventualmente correggere nel 2024</t>
  </si>
  <si>
    <t>Contr c/capitale</t>
  </si>
  <si>
    <t>Risconti</t>
  </si>
  <si>
    <t>LaMMA</t>
  </si>
  <si>
    <t>CNR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</si>
</sst>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7" formatCode="#,##0.00\ &quot;€&quot;;\-#,##0.00\ &quot;€&quot;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&quot;€&quot;#,##0"/>
    <numFmt numFmtId="168" formatCode="d/m/yyyy"/>
    <numFmt numFmtId="169" formatCode="_-&quot;€&quot;\ * #,##0.00_-;\-&quot;€&quot;\ * #,##0.00_-;_-&quot;€&quot;\ * &quot;-&quot;??_-;_-@"/>
    <numFmt numFmtId="170" formatCode="_-[$€-410]\ * #,##0_-;\-[$€-410]\ * #,##0_-;_-[$€-410]\ * &quot;-&quot;??_-;_-@"/>
    <numFmt numFmtId="171" formatCode="[$€-410]\ #,##0;[Red]\-[$€-410]\ #,##0"/>
    <numFmt numFmtId="172" formatCode="_-[$€-410]\ * #,##0.00_-;\-[$€-410]\ * #,##0.00_-;_-[$€-410]\ * &quot;-&quot;??_-;_-@"/>
    <numFmt numFmtId="173" formatCode="[$€-410]\ #,##0;\-[$€-410]\ #,##0"/>
    <numFmt numFmtId="174" formatCode="[$€-410]\ #,##0.00;[Red]\-[$€-410]\ #,##0.00"/>
    <numFmt numFmtId="175" formatCode="&quot;€&quot;#,##0.00"/>
    <numFmt numFmtId="176" formatCode="[$€-2]\ #,##0.00"/>
    <numFmt numFmtId="177" formatCode="[$€-2]\ #,##0.00;[Red]\-[$€-2]\ #,##0.00"/>
    <numFmt numFmtId="178" formatCode="[$€-2]\ #,##0;[Red]\-[$€-2]\ #,##0"/>
    <numFmt numFmtId="179" formatCode="[$€-2]\ #,##0"/>
    <numFmt numFmtId="180" formatCode="d/m/yy"/>
    <numFmt numFmtId="181" formatCode="#,##0_ ;\-#,##0\ "/>
    <numFmt numFmtId="182" formatCode="&quot;€&quot;\ #,##0.00"/>
    <numFmt numFmtId="183" formatCode="#,##0.00_ ;[Red]\-#,##0.00\ "/>
    <numFmt numFmtId="184" formatCode="#,##0.0000"/>
    <numFmt numFmtId="185" formatCode="_-[$€-410]\ * #,##0.00_-;\-[$€-410]\ * #,##0.00_-;_-[$€-410]\ * &quot;-&quot;??_-;_-@_-"/>
    <numFmt numFmtId="186" formatCode="_-[$€-410]\ * #,##0_-;\-[$€-410]\ * #,##0_-;_-[$€-410]\ * &quot;-&quot;??_-;_-@_-"/>
    <numFmt numFmtId="187" formatCode="_-&quot;€&quot;\ * #,##0_-;\-&quot;€&quot;\ * #,##0_-;_-&quot;€&quot;\ * &quot;-&quot;??_-;_-@_-"/>
    <numFmt numFmtId="188" formatCode="#,##0.00\ &quot;€&quot;"/>
    <numFmt numFmtId="189" formatCode="#,##0\ [$€-410];[Red]\-#,##0\ [$€-410]"/>
    <numFmt numFmtId="190" formatCode="_-* #,##0.00\ [$€-410]_-;\-* #,##0.00\ [$€-410]_-;_-* &quot;-&quot;??\ [$€-410]_-;_-@_-"/>
    <numFmt numFmtId="191" formatCode="#,##0.00\ [$€-410];[Red]\-#,##0.00\ [$€-410]"/>
    <numFmt numFmtId="192" formatCode="#,##0.00_ ;\-#,##0.00\ "/>
  </numFmts>
  <fonts count="8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rgb="FF000000"/>
      <name val="Arial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80"/>
      <name val="Calibri"/>
      <family val="2"/>
    </font>
    <font>
      <i/>
      <sz val="10"/>
      <color rgb="FF000000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ajor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FF0000"/>
      <name val="Arial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CCC0D9"/>
        <bgColor rgb="FFCCC0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D7E6B"/>
        <bgColor rgb="FFDD7E6B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99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rgb="FFFF99CC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4" tint="0.39997558519241921"/>
        <bgColor rgb="FF00B050"/>
      </patternFill>
    </fill>
    <fill>
      <patternFill patternType="solid">
        <fgColor rgb="FFFFFF99"/>
        <bgColor rgb="FFCCC0D9"/>
      </patternFill>
    </fill>
    <fill>
      <patternFill patternType="solid">
        <fgColor rgb="FFFFFF99"/>
        <bgColor rgb="FFCCCCCC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99FF"/>
        <bgColor theme="0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CC"/>
        <bgColor rgb="FFDDDDDD"/>
      </patternFill>
    </fill>
    <fill>
      <patternFill patternType="solid">
        <fgColor rgb="FF99FF99"/>
        <bgColor rgb="FF99FF99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18F490"/>
        <bgColor rgb="FF18F490"/>
      </patternFill>
    </fill>
    <fill>
      <patternFill patternType="solid">
        <fgColor rgb="FFFF99CC"/>
        <bgColor rgb="FF99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FC99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theme="0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0">
    <xf numFmtId="0" fontId="0" fillId="0" borderId="0"/>
    <xf numFmtId="166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6" fillId="0" borderId="6"/>
    <xf numFmtId="166" fontId="16" fillId="0" borderId="6" applyFont="0" applyFill="0" applyBorder="0" applyAlignment="0" applyProtection="0"/>
    <xf numFmtId="166" fontId="16" fillId="0" borderId="6" applyFill="0" applyBorder="0" applyAlignment="0" applyProtection="0"/>
    <xf numFmtId="0" fontId="16" fillId="0" borderId="6"/>
    <xf numFmtId="9" fontId="16" fillId="0" borderId="6" applyFont="0" applyFill="0" applyBorder="0" applyAlignment="0" applyProtection="0"/>
    <xf numFmtId="0" fontId="7" fillId="0" borderId="6"/>
    <xf numFmtId="44" fontId="7" fillId="0" borderId="6" applyFont="0" applyFill="0" applyBorder="0" applyAlignment="0" applyProtection="0"/>
    <xf numFmtId="9" fontId="7" fillId="0" borderId="6" applyFont="0" applyFill="0" applyBorder="0" applyAlignment="0" applyProtection="0"/>
    <xf numFmtId="0" fontId="52" fillId="0" borderId="6"/>
    <xf numFmtId="0" fontId="54" fillId="0" borderId="6"/>
    <xf numFmtId="166" fontId="35" fillId="0" borderId="6" applyFont="0" applyFill="0" applyBorder="0" applyAlignment="0" applyProtection="0"/>
    <xf numFmtId="0" fontId="6" fillId="0" borderId="6"/>
    <xf numFmtId="166" fontId="6" fillId="0" borderId="6" applyFont="0" applyFill="0" applyBorder="0" applyAlignment="0" applyProtection="0"/>
    <xf numFmtId="166" fontId="16" fillId="0" borderId="6" applyFill="0" applyBorder="0" applyAlignment="0" applyProtection="0"/>
    <xf numFmtId="0" fontId="2" fillId="0" borderId="6"/>
    <xf numFmtId="166" fontId="2" fillId="0" borderId="6" applyFont="0" applyFill="0" applyBorder="0" applyAlignment="0" applyProtection="0"/>
    <xf numFmtId="166" fontId="35" fillId="0" borderId="6" applyFont="0" applyFill="0" applyBorder="0" applyAlignment="0" applyProtection="0"/>
  </cellStyleXfs>
  <cellXfs count="1073">
    <xf numFmtId="0" fontId="0" fillId="0" borderId="0" xfId="0"/>
    <xf numFmtId="0" fontId="14" fillId="0" borderId="0" xfId="0" applyFont="1"/>
    <xf numFmtId="169" fontId="14" fillId="0" borderId="0" xfId="0" applyNumberFormat="1" applyFont="1"/>
    <xf numFmtId="172" fontId="11" fillId="0" borderId="0" xfId="0" applyNumberFormat="1" applyFont="1"/>
    <xf numFmtId="170" fontId="11" fillId="0" borderId="0" xfId="0" applyNumberFormat="1" applyFont="1"/>
    <xf numFmtId="0" fontId="13" fillId="0" borderId="0" xfId="0" applyFont="1"/>
    <xf numFmtId="0" fontId="13" fillId="0" borderId="1" xfId="0" applyFont="1" applyBorder="1"/>
    <xf numFmtId="169" fontId="8" fillId="0" borderId="0" xfId="0" applyNumberFormat="1" applyFont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169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7" fontId="14" fillId="0" borderId="0" xfId="0" applyNumberFormat="1" applyFont="1"/>
    <xf numFmtId="0" fontId="20" fillId="0" borderId="0" xfId="0" applyFont="1"/>
    <xf numFmtId="168" fontId="14" fillId="0" borderId="0" xfId="0" applyNumberFormat="1" applyFont="1"/>
    <xf numFmtId="4" fontId="20" fillId="0" borderId="0" xfId="0" applyNumberFormat="1" applyFont="1"/>
    <xf numFmtId="179" fontId="14" fillId="0" borderId="0" xfId="0" applyNumberFormat="1" applyFont="1"/>
    <xf numFmtId="3" fontId="14" fillId="0" borderId="0" xfId="0" applyNumberFormat="1" applyFont="1"/>
    <xf numFmtId="179" fontId="23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179" fontId="20" fillId="0" borderId="0" xfId="0" applyNumberFormat="1" applyFont="1"/>
    <xf numFmtId="179" fontId="17" fillId="0" borderId="0" xfId="0" applyNumberFormat="1" applyFont="1"/>
    <xf numFmtId="179" fontId="20" fillId="0" borderId="2" xfId="0" applyNumberFormat="1" applyFont="1" applyBorder="1"/>
    <xf numFmtId="179" fontId="13" fillId="0" borderId="0" xfId="0" applyNumberFormat="1" applyFont="1"/>
    <xf numFmtId="177" fontId="14" fillId="0" borderId="0" xfId="0" applyNumberFormat="1" applyFont="1"/>
    <xf numFmtId="0" fontId="23" fillId="0" borderId="0" xfId="0" applyFont="1" applyAlignment="1">
      <alignment horizontal="right" vertical="center" wrapText="1"/>
    </xf>
    <xf numFmtId="37" fontId="20" fillId="0" borderId="0" xfId="0" applyNumberFormat="1" applyFont="1"/>
    <xf numFmtId="4" fontId="25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9" fontId="14" fillId="0" borderId="0" xfId="0" applyNumberFormat="1" applyFont="1"/>
    <xf numFmtId="10" fontId="14" fillId="0" borderId="0" xfId="0" applyNumberFormat="1" applyFont="1"/>
    <xf numFmtId="179" fontId="18" fillId="0" borderId="0" xfId="0" applyNumberFormat="1" applyFont="1"/>
    <xf numFmtId="0" fontId="26" fillId="0" borderId="0" xfId="0" applyFont="1" applyAlignment="1">
      <alignment vertical="center" wrapText="1"/>
    </xf>
    <xf numFmtId="3" fontId="26" fillId="0" borderId="0" xfId="0" applyNumberFormat="1" applyFont="1" applyAlignment="1">
      <alignment horizontal="righ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 wrapText="1"/>
    </xf>
    <xf numFmtId="4" fontId="26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/>
    <xf numFmtId="0" fontId="26" fillId="0" borderId="0" xfId="0" applyFont="1" applyAlignment="1">
      <alignment horizontal="right" vertical="center" wrapText="1"/>
    </xf>
    <xf numFmtId="0" fontId="20" fillId="0" borderId="1" xfId="0" applyFont="1" applyBorder="1"/>
    <xf numFmtId="172" fontId="14" fillId="0" borderId="1" xfId="0" applyNumberFormat="1" applyFont="1" applyBorder="1"/>
    <xf numFmtId="172" fontId="14" fillId="0" borderId="0" xfId="0" applyNumberFormat="1" applyFont="1"/>
    <xf numFmtId="4" fontId="22" fillId="0" borderId="1" xfId="0" applyNumberFormat="1" applyFont="1" applyBorder="1" applyAlignment="1">
      <alignment horizontal="right"/>
    </xf>
    <xf numFmtId="4" fontId="13" fillId="0" borderId="1" xfId="0" applyNumberFormat="1" applyFont="1" applyBorder="1"/>
    <xf numFmtId="174" fontId="14" fillId="0" borderId="1" xfId="0" applyNumberFormat="1" applyFont="1" applyBorder="1"/>
    <xf numFmtId="181" fontId="11" fillId="0" borderId="0" xfId="0" applyNumberFormat="1" applyFont="1"/>
    <xf numFmtId="170" fontId="11" fillId="0" borderId="1" xfId="0" applyNumberFormat="1" applyFont="1" applyBorder="1"/>
    <xf numFmtId="170" fontId="14" fillId="9" borderId="1" xfId="0" applyNumberFormat="1" applyFont="1" applyFill="1" applyBorder="1" applyAlignment="1">
      <alignment vertical="center"/>
    </xf>
    <xf numFmtId="170" fontId="20" fillId="9" borderId="1" xfId="0" applyNumberFormat="1" applyFont="1" applyFill="1" applyBorder="1" applyAlignment="1">
      <alignment vertical="center"/>
    </xf>
    <xf numFmtId="172" fontId="11" fillId="9" borderId="1" xfId="0" applyNumberFormat="1" applyFont="1" applyFill="1" applyBorder="1" applyAlignment="1">
      <alignment vertical="center"/>
    </xf>
    <xf numFmtId="170" fontId="11" fillId="0" borderId="1" xfId="0" applyNumberFormat="1" applyFont="1" applyBorder="1" applyAlignment="1">
      <alignment vertical="center"/>
    </xf>
    <xf numFmtId="170" fontId="14" fillId="0" borderId="1" xfId="0" applyNumberFormat="1" applyFont="1" applyBorder="1" applyAlignment="1">
      <alignment vertical="center"/>
    </xf>
    <xf numFmtId="170" fontId="14" fillId="0" borderId="1" xfId="0" applyNumberFormat="1" applyFont="1" applyBorder="1"/>
    <xf numFmtId="0" fontId="18" fillId="0" borderId="1" xfId="0" applyFont="1" applyBorder="1"/>
    <xf numFmtId="0" fontId="14" fillId="2" borderId="2" xfId="0" applyFont="1" applyFill="1" applyBorder="1"/>
    <xf numFmtId="182" fontId="14" fillId="0" borderId="0" xfId="0" applyNumberFormat="1" applyFont="1"/>
    <xf numFmtId="0" fontId="14" fillId="0" borderId="18" xfId="0" applyFont="1" applyBorder="1"/>
    <xf numFmtId="0" fontId="20" fillId="2" borderId="2" xfId="0" applyFont="1" applyFill="1" applyBorder="1"/>
    <xf numFmtId="169" fontId="14" fillId="2" borderId="2" xfId="0" applyNumberFormat="1" applyFont="1" applyFill="1" applyBorder="1"/>
    <xf numFmtId="172" fontId="14" fillId="2" borderId="2" xfId="0" applyNumberFormat="1" applyFont="1" applyFill="1" applyBorder="1"/>
    <xf numFmtId="172" fontId="20" fillId="2" borderId="2" xfId="0" applyNumberFormat="1" applyFont="1" applyFill="1" applyBorder="1"/>
    <xf numFmtId="0" fontId="14" fillId="2" borderId="2" xfId="0" applyFont="1" applyFill="1" applyBorder="1" applyAlignment="1">
      <alignment wrapText="1"/>
    </xf>
    <xf numFmtId="169" fontId="20" fillId="2" borderId="2" xfId="0" applyNumberFormat="1" applyFont="1" applyFill="1" applyBorder="1"/>
    <xf numFmtId="40" fontId="14" fillId="2" borderId="2" xfId="0" applyNumberFormat="1" applyFont="1" applyFill="1" applyBorder="1"/>
    <xf numFmtId="0" fontId="20" fillId="2" borderId="2" xfId="0" applyFont="1" applyFill="1" applyBorder="1" applyAlignment="1">
      <alignment horizontal="left"/>
    </xf>
    <xf numFmtId="0" fontId="31" fillId="2" borderId="4" xfId="0" applyFont="1" applyFill="1" applyBorder="1" applyAlignment="1">
      <alignment horizontal="right"/>
    </xf>
    <xf numFmtId="172" fontId="20" fillId="2" borderId="4" xfId="0" applyNumberFormat="1" applyFont="1" applyFill="1" applyBorder="1"/>
    <xf numFmtId="172" fontId="29" fillId="3" borderId="2" xfId="0" applyNumberFormat="1" applyFont="1" applyFill="1" applyBorder="1"/>
    <xf numFmtId="0" fontId="29" fillId="3" borderId="2" xfId="0" applyFont="1" applyFill="1" applyBorder="1"/>
    <xf numFmtId="172" fontId="29" fillId="2" borderId="2" xfId="0" applyNumberFormat="1" applyFont="1" applyFill="1" applyBorder="1"/>
    <xf numFmtId="0" fontId="29" fillId="2" borderId="2" xfId="0" applyFont="1" applyFill="1" applyBorder="1"/>
    <xf numFmtId="0" fontId="14" fillId="2" borderId="26" xfId="0" applyFont="1" applyFill="1" applyBorder="1"/>
    <xf numFmtId="40" fontId="14" fillId="2" borderId="26" xfId="0" applyNumberFormat="1" applyFont="1" applyFill="1" applyBorder="1"/>
    <xf numFmtId="169" fontId="14" fillId="2" borderId="26" xfId="0" applyNumberFormat="1" applyFont="1" applyFill="1" applyBorder="1"/>
    <xf numFmtId="176" fontId="14" fillId="2" borderId="2" xfId="0" applyNumberFormat="1" applyFont="1" applyFill="1" applyBorder="1"/>
    <xf numFmtId="0" fontId="14" fillId="2" borderId="8" xfId="0" applyFont="1" applyFill="1" applyBorder="1"/>
    <xf numFmtId="40" fontId="14" fillId="2" borderId="8" xfId="0" applyNumberFormat="1" applyFont="1" applyFill="1" applyBorder="1"/>
    <xf numFmtId="169" fontId="14" fillId="2" borderId="8" xfId="0" applyNumberFormat="1" applyFont="1" applyFill="1" applyBorder="1"/>
    <xf numFmtId="0" fontId="20" fillId="3" borderId="2" xfId="0" applyFont="1" applyFill="1" applyBorder="1"/>
    <xf numFmtId="40" fontId="20" fillId="2" borderId="2" xfId="0" applyNumberFormat="1" applyFont="1" applyFill="1" applyBorder="1"/>
    <xf numFmtId="172" fontId="20" fillId="3" borderId="2" xfId="0" applyNumberFormat="1" applyFont="1" applyFill="1" applyBorder="1"/>
    <xf numFmtId="40" fontId="14" fillId="0" borderId="0" xfId="0" applyNumberFormat="1" applyFont="1"/>
    <xf numFmtId="183" fontId="14" fillId="0" borderId="0" xfId="0" applyNumberFormat="1" applyFont="1"/>
    <xf numFmtId="174" fontId="14" fillId="0" borderId="0" xfId="0" applyNumberFormat="1" applyFont="1"/>
    <xf numFmtId="174" fontId="20" fillId="0" borderId="0" xfId="0" applyNumberFormat="1" applyFont="1"/>
    <xf numFmtId="174" fontId="29" fillId="0" borderId="0" xfId="0" applyNumberFormat="1" applyFont="1"/>
    <xf numFmtId="0" fontId="14" fillId="3" borderId="2" xfId="0" applyFont="1" applyFill="1" applyBorder="1"/>
    <xf numFmtId="174" fontId="14" fillId="3" borderId="2" xfId="0" applyNumberFormat="1" applyFont="1" applyFill="1" applyBorder="1"/>
    <xf numFmtId="174" fontId="20" fillId="3" borderId="2" xfId="0" applyNumberFormat="1" applyFont="1" applyFill="1" applyBorder="1"/>
    <xf numFmtId="174" fontId="17" fillId="10" borderId="2" xfId="0" applyNumberFormat="1" applyFont="1" applyFill="1" applyBorder="1"/>
    <xf numFmtId="0" fontId="14" fillId="4" borderId="2" xfId="0" applyFont="1" applyFill="1" applyBorder="1"/>
    <xf numFmtId="174" fontId="14" fillId="4" borderId="2" xfId="0" applyNumberFormat="1" applyFont="1" applyFill="1" applyBorder="1"/>
    <xf numFmtId="174" fontId="20" fillId="4" borderId="2" xfId="0" applyNumberFormat="1" applyFont="1" applyFill="1" applyBorder="1"/>
    <xf numFmtId="172" fontId="14" fillId="4" borderId="2" xfId="0" applyNumberFormat="1" applyFont="1" applyFill="1" applyBorder="1"/>
    <xf numFmtId="0" fontId="14" fillId="0" borderId="17" xfId="0" applyFont="1" applyBorder="1"/>
    <xf numFmtId="174" fontId="17" fillId="0" borderId="0" xfId="0" applyNumberFormat="1" applyFont="1"/>
    <xf numFmtId="0" fontId="20" fillId="0" borderId="16" xfId="0" applyFont="1" applyBorder="1"/>
    <xf numFmtId="174" fontId="20" fillId="0" borderId="16" xfId="0" applyNumberFormat="1" applyFont="1" applyBorder="1"/>
    <xf numFmtId="0" fontId="20" fillId="2" borderId="16" xfId="0" applyFont="1" applyFill="1" applyBorder="1"/>
    <xf numFmtId="174" fontId="14" fillId="2" borderId="1" xfId="0" applyNumberFormat="1" applyFont="1" applyFill="1" applyBorder="1"/>
    <xf numFmtId="174" fontId="14" fillId="0" borderId="15" xfId="0" applyNumberFormat="1" applyFont="1" applyBorder="1"/>
    <xf numFmtId="174" fontId="14" fillId="0" borderId="18" xfId="0" applyNumberFormat="1" applyFont="1" applyBorder="1"/>
    <xf numFmtId="174" fontId="20" fillId="0" borderId="1" xfId="0" applyNumberFormat="1" applyFont="1" applyBorder="1"/>
    <xf numFmtId="174" fontId="20" fillId="0" borderId="18" xfId="0" applyNumberFormat="1" applyFont="1" applyBorder="1"/>
    <xf numFmtId="177" fontId="14" fillId="0" borderId="0" xfId="0" applyNumberFormat="1" applyFont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0" fontId="20" fillId="2" borderId="2" xfId="0" applyFont="1" applyFill="1" applyBorder="1" applyAlignment="1">
      <alignment vertical="center" wrapText="1"/>
    </xf>
    <xf numFmtId="0" fontId="30" fillId="0" borderId="1" xfId="0" applyFont="1" applyBorder="1"/>
    <xf numFmtId="0" fontId="32" fillId="2" borderId="2" xfId="0" applyFont="1" applyFill="1" applyBorder="1" applyAlignment="1">
      <alignment vertical="center" wrapText="1"/>
    </xf>
    <xf numFmtId="165" fontId="32" fillId="2" borderId="2" xfId="0" applyNumberFormat="1" applyFont="1" applyFill="1" applyBorder="1" applyAlignment="1">
      <alignment vertical="center" wrapText="1"/>
    </xf>
    <xf numFmtId="174" fontId="30" fillId="0" borderId="1" xfId="0" applyNumberFormat="1" applyFont="1" applyBorder="1"/>
    <xf numFmtId="174" fontId="20" fillId="2" borderId="2" xfId="0" applyNumberFormat="1" applyFont="1" applyFill="1" applyBorder="1"/>
    <xf numFmtId="165" fontId="33" fillId="0" borderId="0" xfId="0" applyNumberFormat="1" applyFont="1" applyAlignment="1">
      <alignment vertical="center" wrapText="1"/>
    </xf>
    <xf numFmtId="169" fontId="14" fillId="3" borderId="2" xfId="0" applyNumberFormat="1" applyFont="1" applyFill="1" applyBorder="1"/>
    <xf numFmtId="174" fontId="20" fillId="2" borderId="1" xfId="0" applyNumberFormat="1" applyFont="1" applyFill="1" applyBorder="1"/>
    <xf numFmtId="169" fontId="14" fillId="4" borderId="2" xfId="0" applyNumberFormat="1" applyFont="1" applyFill="1" applyBorder="1"/>
    <xf numFmtId="174" fontId="14" fillId="0" borderId="2" xfId="0" applyNumberFormat="1" applyFont="1" applyBorder="1"/>
    <xf numFmtId="0" fontId="34" fillId="0" borderId="2" xfId="0" applyFont="1" applyBorder="1"/>
    <xf numFmtId="0" fontId="14" fillId="0" borderId="2" xfId="0" applyFont="1" applyBorder="1"/>
    <xf numFmtId="174" fontId="14" fillId="4" borderId="0" xfId="0" applyNumberFormat="1" applyFont="1" applyFill="1"/>
    <xf numFmtId="0" fontId="20" fillId="2" borderId="1" xfId="0" applyFont="1" applyFill="1" applyBorder="1"/>
    <xf numFmtId="169" fontId="14" fillId="11" borderId="0" xfId="0" applyNumberFormat="1" applyFont="1" applyFill="1"/>
    <xf numFmtId="0" fontId="14" fillId="7" borderId="1" xfId="0" applyFont="1" applyFill="1" applyBorder="1"/>
    <xf numFmtId="174" fontId="14" fillId="3" borderId="0" xfId="0" applyNumberFormat="1" applyFont="1" applyFill="1"/>
    <xf numFmtId="174" fontId="14" fillId="6" borderId="0" xfId="0" applyNumberFormat="1" applyFont="1" applyFill="1"/>
    <xf numFmtId="174" fontId="14" fillId="8" borderId="1" xfId="0" applyNumberFormat="1" applyFont="1" applyFill="1" applyBorder="1"/>
    <xf numFmtId="174" fontId="14" fillId="12" borderId="1" xfId="0" applyNumberFormat="1" applyFont="1" applyFill="1" applyBorder="1"/>
    <xf numFmtId="0" fontId="20" fillId="0" borderId="28" xfId="0" applyFont="1" applyBorder="1"/>
    <xf numFmtId="174" fontId="14" fillId="0" borderId="16" xfId="0" applyNumberFormat="1" applyFont="1" applyBorder="1"/>
    <xf numFmtId="178" fontId="20" fillId="0" borderId="0" xfId="0" applyNumberFormat="1" applyFont="1" applyAlignment="1">
      <alignment horizontal="right" vertical="center" wrapText="1"/>
    </xf>
    <xf numFmtId="0" fontId="20" fillId="5" borderId="20" xfId="0" applyFont="1" applyFill="1" applyBorder="1" applyAlignment="1">
      <alignment wrapText="1"/>
    </xf>
    <xf numFmtId="0" fontId="25" fillId="5" borderId="20" xfId="0" applyFont="1" applyFill="1" applyBorder="1" applyAlignment="1">
      <alignment wrapText="1"/>
    </xf>
    <xf numFmtId="0" fontId="25" fillId="5" borderId="22" xfId="0" applyFont="1" applyFill="1" applyBorder="1"/>
    <xf numFmtId="0" fontId="20" fillId="5" borderId="1" xfId="0" applyFont="1" applyFill="1" applyBorder="1" applyAlignment="1">
      <alignment wrapText="1"/>
    </xf>
    <xf numFmtId="169" fontId="20" fillId="5" borderId="23" xfId="0" applyNumberFormat="1" applyFont="1" applyFill="1" applyBorder="1" applyAlignment="1">
      <alignment wrapText="1"/>
    </xf>
    <xf numFmtId="0" fontId="20" fillId="0" borderId="0" xfId="0" applyFont="1" applyAlignment="1">
      <alignment horizontal="right"/>
    </xf>
    <xf numFmtId="0" fontId="14" fillId="0" borderId="22" xfId="0" applyFont="1" applyBorder="1" applyAlignment="1">
      <alignment wrapText="1"/>
    </xf>
    <xf numFmtId="0" fontId="20" fillId="5" borderId="22" xfId="0" applyFont="1" applyFill="1" applyBorder="1"/>
    <xf numFmtId="0" fontId="20" fillId="8" borderId="24" xfId="0" applyFont="1" applyFill="1" applyBorder="1"/>
    <xf numFmtId="165" fontId="21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wrapText="1"/>
    </xf>
    <xf numFmtId="165" fontId="9" fillId="0" borderId="0" xfId="0" applyNumberFormat="1" applyFont="1" applyAlignment="1">
      <alignment horizontal="right" vertical="center"/>
    </xf>
    <xf numFmtId="0" fontId="36" fillId="0" borderId="0" xfId="0" applyFont="1"/>
    <xf numFmtId="0" fontId="37" fillId="0" borderId="0" xfId="0" applyFont="1"/>
    <xf numFmtId="169" fontId="38" fillId="0" borderId="0" xfId="0" applyNumberFormat="1" applyFont="1"/>
    <xf numFmtId="0" fontId="38" fillId="0" borderId="0" xfId="0" applyFont="1"/>
    <xf numFmtId="0" fontId="39" fillId="13" borderId="0" xfId="0" applyFont="1" applyFill="1"/>
    <xf numFmtId="44" fontId="38" fillId="0" borderId="0" xfId="0" applyNumberFormat="1" applyFont="1"/>
    <xf numFmtId="0" fontId="40" fillId="0" borderId="0" xfId="0" applyFont="1"/>
    <xf numFmtId="184" fontId="23" fillId="0" borderId="0" xfId="0" applyNumberFormat="1" applyFont="1" applyAlignment="1">
      <alignment horizontal="right" vertical="center" wrapText="1"/>
    </xf>
    <xf numFmtId="166" fontId="38" fillId="0" borderId="0" xfId="1" applyFont="1"/>
    <xf numFmtId="166" fontId="38" fillId="0" borderId="0" xfId="0" applyNumberFormat="1" applyFont="1"/>
    <xf numFmtId="0" fontId="0" fillId="0" borderId="6" xfId="0" applyBorder="1"/>
    <xf numFmtId="0" fontId="20" fillId="16" borderId="16" xfId="0" applyFont="1" applyFill="1" applyBorder="1"/>
    <xf numFmtId="174" fontId="14" fillId="16" borderId="15" xfId="0" applyNumberFormat="1" applyFont="1" applyFill="1" applyBorder="1"/>
    <xf numFmtId="174" fontId="14" fillId="17" borderId="7" xfId="0" applyNumberFormat="1" applyFont="1" applyFill="1" applyBorder="1"/>
    <xf numFmtId="174" fontId="14" fillId="17" borderId="15" xfId="0" applyNumberFormat="1" applyFont="1" applyFill="1" applyBorder="1"/>
    <xf numFmtId="174" fontId="20" fillId="16" borderId="15" xfId="0" applyNumberFormat="1" applyFont="1" applyFill="1" applyBorder="1"/>
    <xf numFmtId="174" fontId="14" fillId="16" borderId="1" xfId="0" applyNumberFormat="1" applyFont="1" applyFill="1" applyBorder="1"/>
    <xf numFmtId="174" fontId="20" fillId="16" borderId="1" xfId="0" applyNumberFormat="1" applyFont="1" applyFill="1" applyBorder="1"/>
    <xf numFmtId="0" fontId="20" fillId="16" borderId="1" xfId="0" applyFont="1" applyFill="1" applyBorder="1"/>
    <xf numFmtId="0" fontId="20" fillId="0" borderId="30" xfId="0" applyFont="1" applyBorder="1"/>
    <xf numFmtId="166" fontId="14" fillId="0" borderId="0" xfId="0" applyNumberFormat="1" applyFont="1"/>
    <xf numFmtId="0" fontId="20" fillId="15" borderId="1" xfId="0" applyFont="1" applyFill="1" applyBorder="1"/>
    <xf numFmtId="0" fontId="14" fillId="15" borderId="1" xfId="0" applyFont="1" applyFill="1" applyBorder="1"/>
    <xf numFmtId="174" fontId="14" fillId="15" borderId="1" xfId="0" applyNumberFormat="1" applyFont="1" applyFill="1" applyBorder="1"/>
    <xf numFmtId="174" fontId="20" fillId="15" borderId="1" xfId="0" applyNumberFormat="1" applyFont="1" applyFill="1" applyBorder="1"/>
    <xf numFmtId="0" fontId="14" fillId="0" borderId="6" xfId="0" applyFont="1" applyBorder="1"/>
    <xf numFmtId="174" fontId="20" fillId="0" borderId="3" xfId="0" applyNumberFormat="1" applyFont="1" applyBorder="1"/>
    <xf numFmtId="0" fontId="14" fillId="0" borderId="29" xfId="0" applyFont="1" applyBorder="1"/>
    <xf numFmtId="174" fontId="14" fillId="0" borderId="29" xfId="1" applyNumberFormat="1" applyFont="1" applyBorder="1"/>
    <xf numFmtId="174" fontId="14" fillId="0" borderId="29" xfId="0" applyNumberFormat="1" applyFont="1" applyBorder="1"/>
    <xf numFmtId="174" fontId="18" fillId="0" borderId="6" xfId="0" applyNumberFormat="1" applyFont="1" applyBorder="1"/>
    <xf numFmtId="0" fontId="18" fillId="5" borderId="20" xfId="0" applyFont="1" applyFill="1" applyBorder="1" applyAlignment="1">
      <alignment wrapText="1"/>
    </xf>
    <xf numFmtId="169" fontId="18" fillId="5" borderId="21" xfId="0" applyNumberFormat="1" applyFont="1" applyFill="1" applyBorder="1" applyAlignment="1">
      <alignment wrapText="1"/>
    </xf>
    <xf numFmtId="174" fontId="14" fillId="0" borderId="34" xfId="0" applyNumberFormat="1" applyFont="1" applyBorder="1"/>
    <xf numFmtId="0" fontId="14" fillId="0" borderId="34" xfId="0" applyFont="1" applyBorder="1"/>
    <xf numFmtId="174" fontId="18" fillId="0" borderId="0" xfId="0" applyNumberFormat="1" applyFont="1"/>
    <xf numFmtId="0" fontId="13" fillId="3" borderId="2" xfId="0" applyFont="1" applyFill="1" applyBorder="1"/>
    <xf numFmtId="174" fontId="14" fillId="3" borderId="6" xfId="0" applyNumberFormat="1" applyFont="1" applyFill="1" applyBorder="1"/>
    <xf numFmtId="174" fontId="14" fillId="4" borderId="6" xfId="0" applyNumberFormat="1" applyFont="1" applyFill="1" applyBorder="1"/>
    <xf numFmtId="172" fontId="14" fillId="4" borderId="6" xfId="0" applyNumberFormat="1" applyFont="1" applyFill="1" applyBorder="1"/>
    <xf numFmtId="174" fontId="14" fillId="0" borderId="26" xfId="0" applyNumberFormat="1" applyFont="1" applyBorder="1"/>
    <xf numFmtId="0" fontId="32" fillId="2" borderId="6" xfId="0" applyFont="1" applyFill="1" applyBorder="1" applyAlignment="1">
      <alignment vertical="center" wrapText="1"/>
    </xf>
    <xf numFmtId="0" fontId="14" fillId="3" borderId="6" xfId="0" applyFont="1" applyFill="1" applyBorder="1"/>
    <xf numFmtId="0" fontId="14" fillId="4" borderId="6" xfId="0" applyFont="1" applyFill="1" applyBorder="1"/>
    <xf numFmtId="0" fontId="14" fillId="2" borderId="6" xfId="0" applyFont="1" applyFill="1" applyBorder="1"/>
    <xf numFmtId="0" fontId="13" fillId="4" borderId="2" xfId="0" applyFont="1" applyFill="1" applyBorder="1"/>
    <xf numFmtId="174" fontId="13" fillId="3" borderId="0" xfId="0" applyNumberFormat="1" applyFont="1" applyFill="1"/>
    <xf numFmtId="174" fontId="14" fillId="18" borderId="0" xfId="0" applyNumberFormat="1" applyFont="1" applyFill="1"/>
    <xf numFmtId="174" fontId="13" fillId="18" borderId="0" xfId="0" applyNumberFormat="1" applyFont="1" applyFill="1"/>
    <xf numFmtId="174" fontId="14" fillId="19" borderId="0" xfId="0" applyNumberFormat="1" applyFont="1" applyFill="1"/>
    <xf numFmtId="174" fontId="13" fillId="0" borderId="0" xfId="0" applyNumberFormat="1" applyFont="1"/>
    <xf numFmtId="169" fontId="18" fillId="0" borderId="0" xfId="0" applyNumberFormat="1" applyFont="1"/>
    <xf numFmtId="166" fontId="18" fillId="0" borderId="0" xfId="0" applyNumberFormat="1" applyFont="1"/>
    <xf numFmtId="172" fontId="18" fillId="0" borderId="0" xfId="0" applyNumberFormat="1" applyFont="1"/>
    <xf numFmtId="174" fontId="13" fillId="19" borderId="0" xfId="0" applyNumberFormat="1" applyFont="1" applyFill="1"/>
    <xf numFmtId="0" fontId="14" fillId="15" borderId="17" xfId="0" applyFont="1" applyFill="1" applyBorder="1"/>
    <xf numFmtId="0" fontId="20" fillId="15" borderId="0" xfId="0" applyFont="1" applyFill="1" applyAlignment="1">
      <alignment vertical="center"/>
    </xf>
    <xf numFmtId="174" fontId="14" fillId="15" borderId="0" xfId="0" applyNumberFormat="1" applyFont="1" applyFill="1"/>
    <xf numFmtId="0" fontId="14" fillId="15" borderId="0" xfId="0" applyFont="1" applyFill="1"/>
    <xf numFmtId="0" fontId="20" fillId="15" borderId="16" xfId="0" applyFont="1" applyFill="1" applyBorder="1"/>
    <xf numFmtId="174" fontId="20" fillId="15" borderId="16" xfId="0" applyNumberFormat="1" applyFont="1" applyFill="1" applyBorder="1"/>
    <xf numFmtId="0" fontId="20" fillId="20" borderId="16" xfId="0" applyFont="1" applyFill="1" applyBorder="1"/>
    <xf numFmtId="0" fontId="34" fillId="21" borderId="2" xfId="0" applyFont="1" applyFill="1" applyBorder="1"/>
    <xf numFmtId="174" fontId="14" fillId="20" borderId="1" xfId="0" applyNumberFormat="1" applyFont="1" applyFill="1" applyBorder="1"/>
    <xf numFmtId="174" fontId="14" fillId="21" borderId="1" xfId="0" applyNumberFormat="1" applyFont="1" applyFill="1" applyBorder="1"/>
    <xf numFmtId="174" fontId="14" fillId="21" borderId="0" xfId="0" applyNumberFormat="1" applyFont="1" applyFill="1"/>
    <xf numFmtId="0" fontId="30" fillId="15" borderId="1" xfId="0" applyFont="1" applyFill="1" applyBorder="1"/>
    <xf numFmtId="174" fontId="30" fillId="15" borderId="1" xfId="0" applyNumberFormat="1" applyFont="1" applyFill="1" applyBorder="1"/>
    <xf numFmtId="0" fontId="13" fillId="15" borderId="1" xfId="0" applyFont="1" applyFill="1" applyBorder="1"/>
    <xf numFmtId="174" fontId="20" fillId="20" borderId="1" xfId="0" applyNumberFormat="1" applyFont="1" applyFill="1" applyBorder="1"/>
    <xf numFmtId="0" fontId="47" fillId="0" borderId="6" xfId="3" applyFont="1"/>
    <xf numFmtId="0" fontId="48" fillId="0" borderId="6" xfId="3" applyFont="1"/>
    <xf numFmtId="166" fontId="47" fillId="0" borderId="6" xfId="3" applyNumberFormat="1" applyFont="1"/>
    <xf numFmtId="0" fontId="48" fillId="0" borderId="29" xfId="3" applyFont="1" applyBorder="1"/>
    <xf numFmtId="0" fontId="47" fillId="0" borderId="29" xfId="3" applyFont="1" applyBorder="1"/>
    <xf numFmtId="185" fontId="47" fillId="0" borderId="6" xfId="3" applyNumberFormat="1" applyFont="1"/>
    <xf numFmtId="0" fontId="48" fillId="16" borderId="29" xfId="3" applyFont="1" applyFill="1" applyBorder="1"/>
    <xf numFmtId="166" fontId="48" fillId="16" borderId="29" xfId="3" applyNumberFormat="1" applyFont="1" applyFill="1" applyBorder="1"/>
    <xf numFmtId="166" fontId="48" fillId="0" borderId="6" xfId="3" applyNumberFormat="1" applyFont="1"/>
    <xf numFmtId="0" fontId="47" fillId="16" borderId="29" xfId="3" applyFont="1" applyFill="1" applyBorder="1"/>
    <xf numFmtId="44" fontId="47" fillId="0" borderId="6" xfId="3" applyNumberFormat="1" applyFont="1"/>
    <xf numFmtId="44" fontId="48" fillId="0" borderId="6" xfId="3" applyNumberFormat="1" applyFont="1"/>
    <xf numFmtId="44" fontId="47" fillId="0" borderId="29" xfId="3" applyNumberFormat="1" applyFont="1" applyBorder="1"/>
    <xf numFmtId="166" fontId="48" fillId="0" borderId="29" xfId="3" applyNumberFormat="1" applyFont="1" applyBorder="1"/>
    <xf numFmtId="166" fontId="47" fillId="0" borderId="29" xfId="3" applyNumberFormat="1" applyFont="1" applyBorder="1"/>
    <xf numFmtId="0" fontId="45" fillId="0" borderId="0" xfId="0" applyFont="1"/>
    <xf numFmtId="185" fontId="37" fillId="0" borderId="0" xfId="0" applyNumberFormat="1" applyFont="1"/>
    <xf numFmtId="0" fontId="50" fillId="0" borderId="0" xfId="0" applyFont="1"/>
    <xf numFmtId="185" fontId="50" fillId="0" borderId="0" xfId="0" applyNumberFormat="1" applyFont="1"/>
    <xf numFmtId="185" fontId="45" fillId="0" borderId="0" xfId="0" applyNumberFormat="1" applyFont="1"/>
    <xf numFmtId="179" fontId="25" fillId="0" borderId="0" xfId="0" applyNumberFormat="1" applyFont="1" applyAlignment="1">
      <alignment horizontal="right" vertical="center" wrapText="1"/>
    </xf>
    <xf numFmtId="0" fontId="35" fillId="0" borderId="6" xfId="0" applyFont="1" applyBorder="1" applyAlignment="1">
      <alignment horizontal="center" vertical="center" wrapText="1"/>
    </xf>
    <xf numFmtId="185" fontId="14" fillId="0" borderId="0" xfId="0" applyNumberFormat="1" applyFont="1"/>
    <xf numFmtId="0" fontId="20" fillId="0" borderId="3" xfId="0" applyFont="1" applyBorder="1"/>
    <xf numFmtId="174" fontId="14" fillId="0" borderId="9" xfId="0" applyNumberFormat="1" applyFont="1" applyBorder="1"/>
    <xf numFmtId="0" fontId="14" fillId="0" borderId="16" xfId="0" applyFont="1" applyBorder="1"/>
    <xf numFmtId="169" fontId="20" fillId="24" borderId="26" xfId="0" applyNumberFormat="1" applyFont="1" applyFill="1" applyBorder="1"/>
    <xf numFmtId="169" fontId="20" fillId="24" borderId="2" xfId="0" applyNumberFormat="1" applyFont="1" applyFill="1" applyBorder="1"/>
    <xf numFmtId="0" fontId="20" fillId="24" borderId="2" xfId="0" applyFont="1" applyFill="1" applyBorder="1"/>
    <xf numFmtId="0" fontId="14" fillId="25" borderId="2" xfId="0" applyFont="1" applyFill="1" applyBorder="1"/>
    <xf numFmtId="169" fontId="20" fillId="25" borderId="26" xfId="0" applyNumberFormat="1" applyFont="1" applyFill="1" applyBorder="1"/>
    <xf numFmtId="169" fontId="20" fillId="25" borderId="2" xfId="0" applyNumberFormat="1" applyFont="1" applyFill="1" applyBorder="1"/>
    <xf numFmtId="0" fontId="20" fillId="25" borderId="2" xfId="0" applyFont="1" applyFill="1" applyBorder="1"/>
    <xf numFmtId="0" fontId="20" fillId="26" borderId="2" xfId="0" applyFont="1" applyFill="1" applyBorder="1"/>
    <xf numFmtId="169" fontId="20" fillId="24" borderId="4" xfId="0" applyNumberFormat="1" applyFont="1" applyFill="1" applyBorder="1"/>
    <xf numFmtId="183" fontId="14" fillId="25" borderId="2" xfId="0" applyNumberFormat="1" applyFont="1" applyFill="1" applyBorder="1"/>
    <xf numFmtId="183" fontId="14" fillId="25" borderId="26" xfId="0" applyNumberFormat="1" applyFont="1" applyFill="1" applyBorder="1"/>
    <xf numFmtId="183" fontId="20" fillId="26" borderId="2" xfId="0" applyNumberFormat="1" applyFont="1" applyFill="1" applyBorder="1" applyAlignment="1">
      <alignment horizontal="right"/>
    </xf>
    <xf numFmtId="0" fontId="20" fillId="26" borderId="2" xfId="0" applyFont="1" applyFill="1" applyBorder="1" applyAlignment="1">
      <alignment horizontal="left"/>
    </xf>
    <xf numFmtId="40" fontId="14" fillId="25" borderId="8" xfId="0" applyNumberFormat="1" applyFont="1" applyFill="1" applyBorder="1"/>
    <xf numFmtId="40" fontId="20" fillId="25" borderId="2" xfId="0" applyNumberFormat="1" applyFont="1" applyFill="1" applyBorder="1"/>
    <xf numFmtId="40" fontId="14" fillId="25" borderId="2" xfId="0" applyNumberFormat="1" applyFont="1" applyFill="1" applyBorder="1"/>
    <xf numFmtId="40" fontId="20" fillId="26" borderId="2" xfId="0" applyNumberFormat="1" applyFont="1" applyFill="1" applyBorder="1"/>
    <xf numFmtId="169" fontId="29" fillId="26" borderId="2" xfId="0" applyNumberFormat="1" applyFont="1" applyFill="1" applyBorder="1"/>
    <xf numFmtId="0" fontId="29" fillId="26" borderId="2" xfId="0" applyFont="1" applyFill="1" applyBorder="1"/>
    <xf numFmtId="44" fontId="38" fillId="27" borderId="0" xfId="0" applyNumberFormat="1" applyFont="1" applyFill="1"/>
    <xf numFmtId="0" fontId="38" fillId="27" borderId="0" xfId="0" applyFont="1" applyFill="1"/>
    <xf numFmtId="0" fontId="14" fillId="27" borderId="0" xfId="0" applyFont="1" applyFill="1"/>
    <xf numFmtId="166" fontId="38" fillId="27" borderId="0" xfId="1" applyFont="1" applyFill="1"/>
    <xf numFmtId="166" fontId="38" fillId="27" borderId="0" xfId="1" applyFont="1" applyFill="1" applyAlignment="1"/>
    <xf numFmtId="169" fontId="20" fillId="28" borderId="2" xfId="0" applyNumberFormat="1" applyFont="1" applyFill="1" applyBorder="1"/>
    <xf numFmtId="0" fontId="20" fillId="28" borderId="2" xfId="0" applyFont="1" applyFill="1" applyBorder="1"/>
    <xf numFmtId="0" fontId="20" fillId="5" borderId="19" xfId="0" applyFont="1" applyFill="1" applyBorder="1" applyAlignment="1">
      <alignment wrapText="1"/>
    </xf>
    <xf numFmtId="0" fontId="35" fillId="0" borderId="6" xfId="0" applyFont="1" applyBorder="1" applyAlignment="1">
      <alignment horizontal="right" vertical="center" wrapText="1"/>
    </xf>
    <xf numFmtId="164" fontId="35" fillId="0" borderId="6" xfId="0" applyNumberFormat="1" applyFont="1" applyBorder="1" applyAlignment="1">
      <alignment horizontal="right" vertical="center" wrapText="1"/>
    </xf>
    <xf numFmtId="0" fontId="35" fillId="0" borderId="6" xfId="0" applyFont="1" applyBorder="1" applyAlignment="1">
      <alignment vertical="center" wrapText="1"/>
    </xf>
    <xf numFmtId="164" fontId="51" fillId="0" borderId="6" xfId="0" applyNumberFormat="1" applyFont="1" applyBorder="1" applyAlignment="1">
      <alignment horizontal="right" vertical="center" wrapText="1"/>
    </xf>
    <xf numFmtId="3" fontId="13" fillId="0" borderId="0" xfId="0" applyNumberFormat="1" applyFont="1"/>
    <xf numFmtId="0" fontId="13" fillId="0" borderId="1" xfId="0" applyFont="1" applyBorder="1" applyAlignment="1">
      <alignment wrapText="1"/>
    </xf>
    <xf numFmtId="0" fontId="0" fillId="0" borderId="29" xfId="0" applyBorder="1"/>
    <xf numFmtId="0" fontId="11" fillId="0" borderId="29" xfId="0" applyFont="1" applyBorder="1"/>
    <xf numFmtId="0" fontId="11" fillId="0" borderId="6" xfId="0" applyFont="1" applyBorder="1"/>
    <xf numFmtId="179" fontId="11" fillId="0" borderId="29" xfId="0" applyNumberFormat="1" applyFont="1" applyBorder="1"/>
    <xf numFmtId="189" fontId="14" fillId="0" borderId="0" xfId="0" applyNumberFormat="1" applyFont="1"/>
    <xf numFmtId="189" fontId="18" fillId="0" borderId="0" xfId="0" applyNumberFormat="1" applyFont="1"/>
    <xf numFmtId="174" fontId="14" fillId="0" borderId="28" xfId="0" applyNumberFormat="1" applyFont="1" applyBorder="1"/>
    <xf numFmtId="174" fontId="14" fillId="12" borderId="15" xfId="0" applyNumberFormat="1" applyFont="1" applyFill="1" applyBorder="1"/>
    <xf numFmtId="174" fontId="14" fillId="12" borderId="29" xfId="0" applyNumberFormat="1" applyFont="1" applyFill="1" applyBorder="1"/>
    <xf numFmtId="0" fontId="18" fillId="0" borderId="30" xfId="0" applyFont="1" applyBorder="1"/>
    <xf numFmtId="190" fontId="14" fillId="0" borderId="0" xfId="0" applyNumberFormat="1" applyFont="1"/>
    <xf numFmtId="169" fontId="17" fillId="0" borderId="0" xfId="0" applyNumberFormat="1" applyFont="1"/>
    <xf numFmtId="0" fontId="20" fillId="16" borderId="10" xfId="0" applyFont="1" applyFill="1" applyBorder="1"/>
    <xf numFmtId="0" fontId="14" fillId="16" borderId="0" xfId="0" applyFont="1" applyFill="1"/>
    <xf numFmtId="174" fontId="18" fillId="16" borderId="1" xfId="0" applyNumberFormat="1" applyFont="1" applyFill="1" applyBorder="1"/>
    <xf numFmtId="174" fontId="14" fillId="14" borderId="0" xfId="0" applyNumberFormat="1" applyFont="1" applyFill="1"/>
    <xf numFmtId="191" fontId="14" fillId="0" borderId="0" xfId="0" applyNumberFormat="1" applyFont="1"/>
    <xf numFmtId="185" fontId="28" fillId="0" borderId="0" xfId="0" applyNumberFormat="1" applyFont="1"/>
    <xf numFmtId="185" fontId="18" fillId="0" borderId="0" xfId="0" applyNumberFormat="1" applyFont="1"/>
    <xf numFmtId="183" fontId="38" fillId="0" borderId="0" xfId="1" applyNumberFormat="1" applyFont="1"/>
    <xf numFmtId="183" fontId="38" fillId="0" borderId="0" xfId="1" applyNumberFormat="1" applyFont="1" applyAlignment="1"/>
    <xf numFmtId="183" fontId="13" fillId="0" borderId="0" xfId="0" applyNumberFormat="1" applyFont="1"/>
    <xf numFmtId="166" fontId="18" fillId="0" borderId="0" xfId="1" applyFont="1"/>
    <xf numFmtId="166" fontId="14" fillId="0" borderId="0" xfId="1" applyFont="1"/>
    <xf numFmtId="183" fontId="44" fillId="0" borderId="0" xfId="1" applyNumberFormat="1" applyFont="1"/>
    <xf numFmtId="0" fontId="13" fillId="3" borderId="6" xfId="0" applyFont="1" applyFill="1" applyBorder="1"/>
    <xf numFmtId="174" fontId="13" fillId="0" borderId="0" xfId="1" applyNumberFormat="1" applyFont="1"/>
    <xf numFmtId="191" fontId="14" fillId="0" borderId="29" xfId="0" applyNumberFormat="1" applyFont="1" applyBorder="1"/>
    <xf numFmtId="183" fontId="18" fillId="0" borderId="0" xfId="0" applyNumberFormat="1" applyFont="1"/>
    <xf numFmtId="49" fontId="46" fillId="0" borderId="29" xfId="16" applyNumberFormat="1" applyFont="1" applyBorder="1"/>
    <xf numFmtId="49" fontId="46" fillId="0" borderId="29" xfId="16" applyNumberFormat="1" applyFont="1" applyFill="1" applyBorder="1"/>
    <xf numFmtId="166" fontId="46" fillId="0" borderId="29" xfId="16" applyFont="1" applyFill="1" applyBorder="1"/>
    <xf numFmtId="0" fontId="47" fillId="16" borderId="6" xfId="3" applyFont="1" applyFill="1"/>
    <xf numFmtId="166" fontId="48" fillId="0" borderId="6" xfId="16" applyFont="1" applyFill="1" applyBorder="1"/>
    <xf numFmtId="166" fontId="46" fillId="0" borderId="29" xfId="16" applyFont="1" applyFill="1" applyBorder="1" applyAlignment="1">
      <alignment wrapText="1"/>
    </xf>
    <xf numFmtId="166" fontId="47" fillId="0" borderId="29" xfId="16" applyFont="1" applyFill="1" applyBorder="1"/>
    <xf numFmtId="166" fontId="48" fillId="0" borderId="29" xfId="16" applyFont="1" applyFill="1" applyBorder="1"/>
    <xf numFmtId="3" fontId="52" fillId="0" borderId="6" xfId="3" applyNumberFormat="1" applyFont="1" applyAlignment="1">
      <alignment horizontal="right" vertical="center" wrapText="1"/>
    </xf>
    <xf numFmtId="166" fontId="16" fillId="0" borderId="6" xfId="16"/>
    <xf numFmtId="0" fontId="23" fillId="0" borderId="42" xfId="0" applyFont="1" applyBorder="1" applyAlignment="1">
      <alignment vertical="center"/>
    </xf>
    <xf numFmtId="0" fontId="25" fillId="31" borderId="41" xfId="0" applyFont="1" applyFill="1" applyBorder="1" applyAlignment="1">
      <alignment vertical="center" wrapText="1"/>
    </xf>
    <xf numFmtId="0" fontId="25" fillId="31" borderId="33" xfId="0" applyFont="1" applyFill="1" applyBorder="1" applyAlignment="1">
      <alignment vertical="center" wrapText="1"/>
    </xf>
    <xf numFmtId="0" fontId="25" fillId="31" borderId="33" xfId="0" applyFont="1" applyFill="1" applyBorder="1" applyAlignment="1">
      <alignment horizontal="center" vertical="center"/>
    </xf>
    <xf numFmtId="164" fontId="23" fillId="0" borderId="43" xfId="0" applyNumberFormat="1" applyFont="1" applyBorder="1" applyAlignment="1">
      <alignment horizontal="right" vertical="center"/>
    </xf>
    <xf numFmtId="0" fontId="23" fillId="0" borderId="43" xfId="0" applyFont="1" applyBorder="1" applyAlignment="1">
      <alignment vertical="center" wrapText="1"/>
    </xf>
    <xf numFmtId="0" fontId="25" fillId="31" borderId="42" xfId="0" applyFont="1" applyFill="1" applyBorder="1" applyAlignment="1">
      <alignment vertical="center"/>
    </xf>
    <xf numFmtId="164" fontId="25" fillId="31" borderId="43" xfId="0" applyNumberFormat="1" applyFont="1" applyFill="1" applyBorder="1" applyAlignment="1">
      <alignment horizontal="right" vertical="center"/>
    </xf>
    <xf numFmtId="0" fontId="25" fillId="31" borderId="43" xfId="0" applyFont="1" applyFill="1" applyBorder="1" applyAlignment="1">
      <alignment vertical="center"/>
    </xf>
    <xf numFmtId="0" fontId="19" fillId="0" borderId="29" xfId="0" applyFont="1" applyBorder="1" applyAlignment="1">
      <alignment wrapText="1"/>
    </xf>
    <xf numFmtId="0" fontId="11" fillId="0" borderId="29" xfId="0" applyFont="1" applyBorder="1" applyAlignment="1">
      <alignment horizontal="right" vertical="center" wrapText="1"/>
    </xf>
    <xf numFmtId="0" fontId="11" fillId="0" borderId="29" xfId="0" applyFont="1" applyBorder="1" applyAlignment="1">
      <alignment wrapText="1"/>
    </xf>
    <xf numFmtId="164" fontId="13" fillId="0" borderId="0" xfId="0" applyNumberFormat="1" applyFont="1"/>
    <xf numFmtId="0" fontId="13" fillId="19" borderId="6" xfId="0" applyFont="1" applyFill="1" applyBorder="1"/>
    <xf numFmtId="166" fontId="37" fillId="0" borderId="0" xfId="1" applyFont="1" applyAlignment="1"/>
    <xf numFmtId="40" fontId="45" fillId="0" borderId="0" xfId="1" applyNumberFormat="1" applyFont="1" applyAlignment="1"/>
    <xf numFmtId="40" fontId="37" fillId="0" borderId="0" xfId="1" applyNumberFormat="1" applyFont="1" applyAlignment="1"/>
    <xf numFmtId="40" fontId="37" fillId="0" borderId="0" xfId="0" applyNumberFormat="1" applyFont="1"/>
    <xf numFmtId="185" fontId="52" fillId="0" borderId="0" xfId="0" applyNumberFormat="1" applyFont="1"/>
    <xf numFmtId="0" fontId="14" fillId="0" borderId="0" xfId="0" applyFont="1" applyAlignment="1">
      <alignment horizontal="left"/>
    </xf>
    <xf numFmtId="0" fontId="14" fillId="29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174" fontId="0" fillId="0" borderId="0" xfId="0" applyNumberFormat="1"/>
    <xf numFmtId="174" fontId="14" fillId="0" borderId="0" xfId="0" applyNumberFormat="1" applyFont="1" applyAlignment="1">
      <alignment horizontal="left"/>
    </xf>
    <xf numFmtId="191" fontId="14" fillId="0" borderId="0" xfId="0" applyNumberFormat="1" applyFont="1" applyAlignment="1">
      <alignment horizontal="left"/>
    </xf>
    <xf numFmtId="191" fontId="13" fillId="0" borderId="0" xfId="0" applyNumberFormat="1" applyFont="1"/>
    <xf numFmtId="164" fontId="14" fillId="0" borderId="6" xfId="0" applyNumberFormat="1" applyFont="1" applyBorder="1"/>
    <xf numFmtId="191" fontId="14" fillId="0" borderId="6" xfId="0" applyNumberFormat="1" applyFont="1" applyBorder="1"/>
    <xf numFmtId="166" fontId="14" fillId="0" borderId="0" xfId="1" applyFont="1" applyFill="1"/>
    <xf numFmtId="0" fontId="13" fillId="0" borderId="29" xfId="0" applyFont="1" applyBorder="1"/>
    <xf numFmtId="166" fontId="14" fillId="0" borderId="29" xfId="1" applyFont="1" applyBorder="1"/>
    <xf numFmtId="166" fontId="18" fillId="0" borderId="29" xfId="1" applyFont="1" applyFill="1" applyBorder="1"/>
    <xf numFmtId="0" fontId="15" fillId="32" borderId="3" xfId="0" applyFont="1" applyFill="1" applyBorder="1" applyAlignment="1">
      <alignment horizontal="left" wrapText="1"/>
    </xf>
    <xf numFmtId="0" fontId="10" fillId="32" borderId="3" xfId="0" applyFont="1" applyFill="1" applyBorder="1" applyAlignment="1">
      <alignment wrapText="1"/>
    </xf>
    <xf numFmtId="0" fontId="11" fillId="16" borderId="29" xfId="0" applyFont="1" applyFill="1" applyBorder="1"/>
    <xf numFmtId="179" fontId="10" fillId="16" borderId="29" xfId="0" applyNumberFormat="1" applyFont="1" applyFill="1" applyBorder="1"/>
    <xf numFmtId="0" fontId="11" fillId="16" borderId="29" xfId="0" applyFont="1" applyFill="1" applyBorder="1" applyAlignment="1">
      <alignment wrapText="1"/>
    </xf>
    <xf numFmtId="178" fontId="57" fillId="0" borderId="6" xfId="0" applyNumberFormat="1" applyFont="1" applyBorder="1" applyAlignment="1">
      <alignment horizontal="right" vertical="center" wrapText="1"/>
    </xf>
    <xf numFmtId="0" fontId="47" fillId="0" borderId="6" xfId="3" applyFont="1" applyAlignment="1">
      <alignment vertical="center" wrapText="1"/>
    </xf>
    <xf numFmtId="3" fontId="47" fillId="0" borderId="6" xfId="3" applyNumberFormat="1" applyFont="1" applyAlignment="1">
      <alignment vertical="center" wrapText="1"/>
    </xf>
    <xf numFmtId="0" fontId="57" fillId="0" borderId="6" xfId="0" applyFont="1" applyBorder="1" applyAlignment="1">
      <alignment vertical="center" wrapText="1"/>
    </xf>
    <xf numFmtId="0" fontId="57" fillId="0" borderId="0" xfId="0" applyFont="1"/>
    <xf numFmtId="0" fontId="5" fillId="0" borderId="6" xfId="0" applyFont="1" applyBorder="1"/>
    <xf numFmtId="0" fontId="46" fillId="0" borderId="6" xfId="0" applyFont="1" applyBorder="1"/>
    <xf numFmtId="0" fontId="57" fillId="0" borderId="6" xfId="0" applyFont="1" applyBorder="1"/>
    <xf numFmtId="0" fontId="59" fillId="0" borderId="6" xfId="0" applyFont="1" applyBorder="1" applyAlignment="1">
      <alignment wrapText="1"/>
    </xf>
    <xf numFmtId="0" fontId="59" fillId="0" borderId="0" xfId="0" applyFont="1"/>
    <xf numFmtId="0" fontId="59" fillId="0" borderId="0" xfId="0" applyFont="1" applyAlignment="1">
      <alignment wrapText="1"/>
    </xf>
    <xf numFmtId="167" fontId="59" fillId="0" borderId="0" xfId="0" applyNumberFormat="1" applyFont="1" applyAlignment="1">
      <alignment horizontal="right" wrapText="1"/>
    </xf>
    <xf numFmtId="0" fontId="59" fillId="0" borderId="0" xfId="0" applyFont="1" applyAlignment="1">
      <alignment horizontal="right" wrapText="1"/>
    </xf>
    <xf numFmtId="175" fontId="59" fillId="0" borderId="0" xfId="0" applyNumberFormat="1" applyFont="1" applyAlignment="1">
      <alignment horizontal="right" wrapText="1"/>
    </xf>
    <xf numFmtId="0" fontId="5" fillId="0" borderId="0" xfId="0" applyFont="1"/>
    <xf numFmtId="0" fontId="59" fillId="0" borderId="41" xfId="0" applyFont="1" applyBorder="1"/>
    <xf numFmtId="178" fontId="59" fillId="0" borderId="6" xfId="0" applyNumberFormat="1" applyFont="1" applyBorder="1" applyAlignment="1">
      <alignment horizontal="right" vertical="center" wrapText="1"/>
    </xf>
    <xf numFmtId="178" fontId="48" fillId="0" borderId="6" xfId="0" applyNumberFormat="1" applyFont="1" applyBorder="1" applyAlignment="1">
      <alignment horizontal="right" vertical="center" wrapText="1"/>
    </xf>
    <xf numFmtId="176" fontId="58" fillId="23" borderId="1" xfId="0" applyNumberFormat="1" applyFont="1" applyFill="1" applyBorder="1" applyAlignment="1">
      <alignment horizontal="center" wrapText="1"/>
    </xf>
    <xf numFmtId="0" fontId="62" fillId="23" borderId="1" xfId="0" applyFont="1" applyFill="1" applyBorder="1"/>
    <xf numFmtId="174" fontId="5" fillId="0" borderId="29" xfId="0" applyNumberFormat="1" applyFont="1" applyBorder="1" applyAlignment="1">
      <alignment horizontal="left" wrapText="1"/>
    </xf>
    <xf numFmtId="0" fontId="5" fillId="0" borderId="9" xfId="0" applyFont="1" applyBorder="1" applyAlignment="1">
      <alignment horizontal="right"/>
    </xf>
    <xf numFmtId="179" fontId="5" fillId="0" borderId="1" xfId="0" applyNumberFormat="1" applyFont="1" applyBorder="1" applyAlignment="1">
      <alignment horizontal="left"/>
    </xf>
    <xf numFmtId="179" fontId="57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74" fontId="5" fillId="0" borderId="35" xfId="0" applyNumberFormat="1" applyFont="1" applyBorder="1" applyAlignment="1">
      <alignment horizontal="left" wrapText="1"/>
    </xf>
    <xf numFmtId="0" fontId="5" fillId="0" borderId="39" xfId="0" applyFont="1" applyBorder="1" applyAlignment="1">
      <alignment horizontal="right"/>
    </xf>
    <xf numFmtId="179" fontId="5" fillId="0" borderId="3" xfId="0" applyNumberFormat="1" applyFont="1" applyBorder="1" applyAlignment="1">
      <alignment horizontal="left"/>
    </xf>
    <xf numFmtId="179" fontId="57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9" xfId="0" applyFont="1" applyBorder="1" applyAlignment="1">
      <alignment horizontal="right"/>
    </xf>
    <xf numFmtId="179" fontId="5" fillId="0" borderId="29" xfId="0" applyNumberFormat="1" applyFont="1" applyBorder="1" applyAlignment="1">
      <alignment horizontal="left"/>
    </xf>
    <xf numFmtId="179" fontId="57" fillId="0" borderId="29" xfId="0" applyNumberFormat="1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176" fontId="5" fillId="23" borderId="29" xfId="0" applyNumberFormat="1" applyFont="1" applyFill="1" applyBorder="1"/>
    <xf numFmtId="0" fontId="5" fillId="23" borderId="29" xfId="0" applyFont="1" applyFill="1" applyBorder="1" applyAlignment="1">
      <alignment horizontal="right"/>
    </xf>
    <xf numFmtId="179" fontId="59" fillId="23" borderId="29" xfId="0" applyNumberFormat="1" applyFont="1" applyFill="1" applyBorder="1" applyAlignment="1">
      <alignment horizontal="left" wrapText="1"/>
    </xf>
    <xf numFmtId="0" fontId="5" fillId="23" borderId="29" xfId="0" applyFont="1" applyFill="1" applyBorder="1"/>
    <xf numFmtId="174" fontId="5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right" vertical="top" wrapText="1"/>
    </xf>
    <xf numFmtId="179" fontId="57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164" fontId="57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wrapText="1"/>
    </xf>
    <xf numFmtId="179" fontId="5" fillId="0" borderId="0" xfId="0" applyNumberFormat="1" applyFont="1"/>
    <xf numFmtId="176" fontId="5" fillId="0" borderId="0" xfId="0" applyNumberFormat="1" applyFont="1"/>
    <xf numFmtId="179" fontId="57" fillId="0" borderId="0" xfId="0" applyNumberFormat="1" applyFont="1"/>
    <xf numFmtId="188" fontId="57" fillId="0" borderId="0" xfId="0" applyNumberFormat="1" applyFont="1"/>
    <xf numFmtId="0" fontId="59" fillId="0" borderId="6" xfId="0" applyFont="1" applyBorder="1" applyAlignment="1">
      <alignment horizontal="center" wrapText="1"/>
    </xf>
    <xf numFmtId="41" fontId="59" fillId="0" borderId="6" xfId="0" applyNumberFormat="1" applyFont="1" applyBorder="1" applyAlignment="1">
      <alignment horizontal="right" wrapText="1"/>
    </xf>
    <xf numFmtId="185" fontId="57" fillId="0" borderId="0" xfId="0" applyNumberFormat="1" applyFont="1"/>
    <xf numFmtId="0" fontId="59" fillId="0" borderId="6" xfId="0" applyFont="1" applyBorder="1" applyAlignment="1">
      <alignment horizontal="left" wrapText="1"/>
    </xf>
    <xf numFmtId="0" fontId="46" fillId="0" borderId="6" xfId="0" applyFont="1" applyBorder="1" applyAlignment="1">
      <alignment wrapText="1"/>
    </xf>
    <xf numFmtId="164" fontId="57" fillId="0" borderId="0" xfId="0" applyNumberFormat="1" applyFont="1"/>
    <xf numFmtId="166" fontId="47" fillId="0" borderId="6" xfId="1" applyFont="1" applyFill="1" applyBorder="1" applyAlignment="1">
      <alignment vertical="center" wrapText="1"/>
    </xf>
    <xf numFmtId="166" fontId="5" fillId="0" borderId="6" xfId="1" applyFont="1" applyFill="1" applyBorder="1"/>
    <xf numFmtId="166" fontId="57" fillId="0" borderId="6" xfId="1" applyFont="1" applyFill="1" applyBorder="1" applyAlignment="1">
      <alignment wrapText="1"/>
    </xf>
    <xf numFmtId="166" fontId="57" fillId="0" borderId="6" xfId="1" applyFont="1" applyFill="1" applyBorder="1" applyAlignment="1"/>
    <xf numFmtId="166" fontId="57" fillId="0" borderId="0" xfId="1" applyFont="1" applyAlignment="1"/>
    <xf numFmtId="166" fontId="5" fillId="0" borderId="6" xfId="1" applyFont="1" applyFill="1" applyBorder="1" applyAlignment="1"/>
    <xf numFmtId="166" fontId="5" fillId="0" borderId="6" xfId="1" applyFont="1" applyFill="1" applyBorder="1" applyAlignment="1">
      <alignment wrapText="1"/>
    </xf>
    <xf numFmtId="166" fontId="46" fillId="0" borderId="6" xfId="1" applyFont="1" applyFill="1" applyBorder="1"/>
    <xf numFmtId="166" fontId="57" fillId="0" borderId="6" xfId="1" applyFont="1" applyBorder="1" applyAlignment="1"/>
    <xf numFmtId="166" fontId="57" fillId="0" borderId="6" xfId="1" applyFont="1" applyBorder="1" applyAlignment="1">
      <alignment horizontal="right" vertical="center" wrapText="1"/>
    </xf>
    <xf numFmtId="166" fontId="48" fillId="0" borderId="6" xfId="1" applyFont="1" applyFill="1" applyBorder="1" applyAlignment="1">
      <alignment vertical="center" wrapText="1"/>
    </xf>
    <xf numFmtId="166" fontId="46" fillId="0" borderId="6" xfId="1" applyFont="1" applyFill="1" applyBorder="1" applyAlignment="1"/>
    <xf numFmtId="176" fontId="58" fillId="0" borderId="6" xfId="0" applyNumberFormat="1" applyFont="1" applyBorder="1" applyAlignment="1">
      <alignment horizontal="center" wrapText="1"/>
    </xf>
    <xf numFmtId="0" fontId="62" fillId="0" borderId="6" xfId="0" applyFont="1" applyBorder="1"/>
    <xf numFmtId="174" fontId="5" fillId="0" borderId="6" xfId="0" applyNumberFormat="1" applyFont="1" applyBorder="1" applyAlignment="1">
      <alignment horizontal="left"/>
    </xf>
    <xf numFmtId="0" fontId="57" fillId="0" borderId="6" xfId="0" applyFont="1" applyBorder="1" applyAlignment="1">
      <alignment horizontal="left" wrapText="1"/>
    </xf>
    <xf numFmtId="179" fontId="57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76" fontId="57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179" fontId="5" fillId="0" borderId="6" xfId="0" applyNumberFormat="1" applyFont="1" applyBorder="1" applyAlignment="1">
      <alignment horizontal="center"/>
    </xf>
    <xf numFmtId="176" fontId="5" fillId="0" borderId="6" xfId="0" applyNumberFormat="1" applyFont="1" applyBorder="1"/>
    <xf numFmtId="0" fontId="5" fillId="0" borderId="6" xfId="0" applyFont="1" applyBorder="1" applyAlignment="1">
      <alignment horizontal="right"/>
    </xf>
    <xf numFmtId="179" fontId="59" fillId="0" borderId="6" xfId="0" applyNumberFormat="1" applyFont="1" applyBorder="1" applyAlignment="1">
      <alignment horizontal="center" wrapText="1"/>
    </xf>
    <xf numFmtId="0" fontId="57" fillId="0" borderId="6" xfId="0" applyFont="1" applyBorder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57" fillId="0" borderId="6" xfId="0" applyFont="1" applyBorder="1" applyAlignment="1">
      <alignment horizontal="right" wrapText="1"/>
    </xf>
    <xf numFmtId="167" fontId="57" fillId="0" borderId="6" xfId="0" applyNumberFormat="1" applyFont="1" applyBorder="1" applyAlignment="1">
      <alignment horizontal="right" wrapText="1"/>
    </xf>
    <xf numFmtId="175" fontId="57" fillId="0" borderId="6" xfId="0" applyNumberFormat="1" applyFont="1" applyBorder="1" applyAlignment="1">
      <alignment horizontal="right" wrapText="1"/>
    </xf>
    <xf numFmtId="0" fontId="47" fillId="0" borderId="6" xfId="0" applyFont="1" applyBorder="1"/>
    <xf numFmtId="172" fontId="20" fillId="33" borderId="1" xfId="0" applyNumberFormat="1" applyFont="1" applyFill="1" applyBorder="1" applyAlignment="1">
      <alignment vertical="center"/>
    </xf>
    <xf numFmtId="0" fontId="20" fillId="33" borderId="1" xfId="0" applyFont="1" applyFill="1" applyBorder="1"/>
    <xf numFmtId="0" fontId="20" fillId="33" borderId="1" xfId="0" applyFont="1" applyFill="1" applyBorder="1" applyAlignment="1">
      <alignment wrapText="1"/>
    </xf>
    <xf numFmtId="0" fontId="20" fillId="33" borderId="7" xfId="0" applyFont="1" applyFill="1" applyBorder="1" applyAlignment="1">
      <alignment wrapText="1"/>
    </xf>
    <xf numFmtId="172" fontId="20" fillId="33" borderId="1" xfId="0" applyNumberFormat="1" applyFont="1" applyFill="1" applyBorder="1"/>
    <xf numFmtId="172" fontId="20" fillId="33" borderId="1" xfId="0" applyNumberFormat="1" applyFont="1" applyFill="1" applyBorder="1" applyAlignment="1">
      <alignment wrapText="1"/>
    </xf>
    <xf numFmtId="172" fontId="20" fillId="33" borderId="1" xfId="0" applyNumberFormat="1" applyFont="1" applyFill="1" applyBorder="1" applyAlignment="1">
      <alignment horizontal="center"/>
    </xf>
    <xf numFmtId="0" fontId="18" fillId="33" borderId="1" xfId="0" applyFont="1" applyFill="1" applyBorder="1"/>
    <xf numFmtId="0" fontId="18" fillId="33" borderId="1" xfId="0" applyFont="1" applyFill="1" applyBorder="1" applyAlignment="1">
      <alignment wrapText="1"/>
    </xf>
    <xf numFmtId="0" fontId="18" fillId="33" borderId="7" xfId="0" applyFont="1" applyFill="1" applyBorder="1" applyAlignment="1">
      <alignment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6" xfId="12" applyFont="1"/>
    <xf numFmtId="172" fontId="11" fillId="0" borderId="6" xfId="12" applyNumberFormat="1" applyFont="1"/>
    <xf numFmtId="0" fontId="19" fillId="0" borderId="6" xfId="12" applyFont="1"/>
    <xf numFmtId="166" fontId="11" fillId="0" borderId="6" xfId="13" applyFont="1" applyFill="1" applyBorder="1"/>
    <xf numFmtId="169" fontId="11" fillId="0" borderId="6" xfId="12" applyNumberFormat="1" applyFont="1"/>
    <xf numFmtId="0" fontId="11" fillId="0" borderId="6" xfId="12" applyFont="1" applyAlignment="1">
      <alignment wrapText="1"/>
    </xf>
    <xf numFmtId="9" fontId="11" fillId="0" borderId="6" xfId="12" applyNumberFormat="1" applyFont="1"/>
    <xf numFmtId="166" fontId="3" fillId="0" borderId="6" xfId="1" applyFont="1" applyFill="1" applyBorder="1" applyAlignment="1"/>
    <xf numFmtId="0" fontId="59" fillId="0" borderId="46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57" fillId="0" borderId="48" xfId="0" applyFont="1" applyBorder="1" applyAlignment="1">
      <alignment vertical="center" wrapText="1"/>
    </xf>
    <xf numFmtId="164" fontId="57" fillId="0" borderId="29" xfId="0" applyNumberFormat="1" applyFont="1" applyBorder="1" applyAlignment="1">
      <alignment horizontal="right" vertical="center" wrapText="1"/>
    </xf>
    <xf numFmtId="164" fontId="57" fillId="0" borderId="49" xfId="0" applyNumberFormat="1" applyFont="1" applyBorder="1" applyAlignment="1">
      <alignment horizontal="right" vertical="center" wrapText="1"/>
    </xf>
    <xf numFmtId="0" fontId="59" fillId="0" borderId="50" xfId="0" applyFont="1" applyBorder="1" applyAlignment="1">
      <alignment vertical="center" wrapText="1"/>
    </xf>
    <xf numFmtId="164" fontId="59" fillId="0" borderId="51" xfId="0" applyNumberFormat="1" applyFont="1" applyBorder="1" applyAlignment="1">
      <alignment horizontal="right" vertical="center" wrapText="1"/>
    </xf>
    <xf numFmtId="164" fontId="59" fillId="0" borderId="52" xfId="0" applyNumberFormat="1" applyFont="1" applyBorder="1" applyAlignment="1">
      <alignment horizontal="right" vertical="center" wrapText="1"/>
    </xf>
    <xf numFmtId="0" fontId="20" fillId="0" borderId="29" xfId="0" applyFont="1" applyBorder="1"/>
    <xf numFmtId="168" fontId="20" fillId="0" borderId="29" xfId="0" applyNumberFormat="1" applyFont="1" applyBorder="1"/>
    <xf numFmtId="3" fontId="14" fillId="0" borderId="29" xfId="0" applyNumberFormat="1" applyFont="1" applyBorder="1"/>
    <xf numFmtId="179" fontId="14" fillId="0" borderId="29" xfId="0" applyNumberFormat="1" applyFont="1" applyBorder="1"/>
    <xf numFmtId="179" fontId="20" fillId="0" borderId="29" xfId="0" applyNumberFormat="1" applyFont="1" applyBorder="1"/>
    <xf numFmtId="179" fontId="13" fillId="0" borderId="29" xfId="0" applyNumberFormat="1" applyFont="1" applyBorder="1" applyAlignment="1">
      <alignment horizontal="right"/>
    </xf>
    <xf numFmtId="0" fontId="17" fillId="0" borderId="29" xfId="0" applyFont="1" applyBorder="1"/>
    <xf numFmtId="179" fontId="17" fillId="0" borderId="29" xfId="0" applyNumberFormat="1" applyFont="1" applyBorder="1"/>
    <xf numFmtId="179" fontId="52" fillId="0" borderId="29" xfId="0" applyNumberFormat="1" applyFont="1" applyBorder="1"/>
    <xf numFmtId="0" fontId="24" fillId="0" borderId="29" xfId="0" applyFont="1" applyBorder="1"/>
    <xf numFmtId="179" fontId="24" fillId="0" borderId="29" xfId="0" applyNumberFormat="1" applyFont="1" applyBorder="1"/>
    <xf numFmtId="164" fontId="13" fillId="0" borderId="29" xfId="0" applyNumberFormat="1" applyFont="1" applyBorder="1"/>
    <xf numFmtId="164" fontId="52" fillId="0" borderId="29" xfId="0" applyNumberFormat="1" applyFont="1" applyBorder="1"/>
    <xf numFmtId="4" fontId="20" fillId="0" borderId="29" xfId="0" applyNumberFormat="1" applyFont="1" applyBorder="1"/>
    <xf numFmtId="179" fontId="18" fillId="0" borderId="29" xfId="0" applyNumberFormat="1" applyFont="1" applyBorder="1" applyAlignment="1">
      <alignment horizontal="right"/>
    </xf>
    <xf numFmtId="179" fontId="13" fillId="0" borderId="29" xfId="0" applyNumberFormat="1" applyFont="1" applyBorder="1"/>
    <xf numFmtId="0" fontId="13" fillId="0" borderId="15" xfId="0" applyFont="1" applyBorder="1" applyAlignment="1">
      <alignment wrapText="1"/>
    </xf>
    <xf numFmtId="0" fontId="20" fillId="16" borderId="28" xfId="0" applyFont="1" applyFill="1" applyBorder="1"/>
    <xf numFmtId="0" fontId="14" fillId="0" borderId="3" xfId="0" applyFont="1" applyBorder="1"/>
    <xf numFmtId="174" fontId="20" fillId="16" borderId="3" xfId="0" applyNumberFormat="1" applyFont="1" applyFill="1" applyBorder="1"/>
    <xf numFmtId="174" fontId="20" fillId="0" borderId="29" xfId="0" applyNumberFormat="1" applyFont="1" applyBorder="1"/>
    <xf numFmtId="174" fontId="20" fillId="16" borderId="29" xfId="0" applyNumberFormat="1" applyFont="1" applyFill="1" applyBorder="1"/>
    <xf numFmtId="0" fontId="18" fillId="0" borderId="29" xfId="0" applyFont="1" applyBorder="1"/>
    <xf numFmtId="165" fontId="21" fillId="0" borderId="0" xfId="0" applyNumberFormat="1" applyFont="1" applyAlignment="1">
      <alignment horizontal="left" vertical="center" wrapText="1"/>
    </xf>
    <xf numFmtId="169" fontId="17" fillId="19" borderId="29" xfId="0" applyNumberFormat="1" applyFont="1" applyFill="1" applyBorder="1"/>
    <xf numFmtId="0" fontId="14" fillId="19" borderId="29" xfId="0" applyFont="1" applyFill="1" applyBorder="1"/>
    <xf numFmtId="183" fontId="14" fillId="19" borderId="29" xfId="0" applyNumberFormat="1" applyFont="1" applyFill="1" applyBorder="1"/>
    <xf numFmtId="183" fontId="13" fillId="19" borderId="29" xfId="0" applyNumberFormat="1" applyFont="1" applyFill="1" applyBorder="1"/>
    <xf numFmtId="183" fontId="18" fillId="19" borderId="29" xfId="0" applyNumberFormat="1" applyFont="1" applyFill="1" applyBorder="1"/>
    <xf numFmtId="169" fontId="29" fillId="19" borderId="29" xfId="0" applyNumberFormat="1" applyFont="1" applyFill="1" applyBorder="1"/>
    <xf numFmtId="169" fontId="17" fillId="29" borderId="29" xfId="0" applyNumberFormat="1" applyFont="1" applyFill="1" applyBorder="1"/>
    <xf numFmtId="183" fontId="14" fillId="29" borderId="29" xfId="0" applyNumberFormat="1" applyFont="1" applyFill="1" applyBorder="1"/>
    <xf numFmtId="183" fontId="13" fillId="29" borderId="29" xfId="0" applyNumberFormat="1" applyFont="1" applyFill="1" applyBorder="1"/>
    <xf numFmtId="185" fontId="53" fillId="0" borderId="0" xfId="0" applyNumberFormat="1" applyFont="1"/>
    <xf numFmtId="0" fontId="13" fillId="19" borderId="0" xfId="0" applyFont="1" applyFill="1"/>
    <xf numFmtId="185" fontId="14" fillId="19" borderId="0" xfId="0" applyNumberFormat="1" applyFont="1" applyFill="1"/>
    <xf numFmtId="191" fontId="14" fillId="19" borderId="29" xfId="0" applyNumberFormat="1" applyFont="1" applyFill="1" applyBorder="1"/>
    <xf numFmtId="191" fontId="14" fillId="22" borderId="29" xfId="0" applyNumberFormat="1" applyFont="1" applyFill="1" applyBorder="1"/>
    <xf numFmtId="191" fontId="14" fillId="16" borderId="29" xfId="0" applyNumberFormat="1" applyFont="1" applyFill="1" applyBorder="1"/>
    <xf numFmtId="0" fontId="13" fillId="16" borderId="0" xfId="0" applyFont="1" applyFill="1"/>
    <xf numFmtId="0" fontId="13" fillId="22" borderId="0" xfId="0" applyFont="1" applyFill="1"/>
    <xf numFmtId="9" fontId="13" fillId="19" borderId="0" xfId="2" applyFont="1" applyFill="1"/>
    <xf numFmtId="174" fontId="13" fillId="22" borderId="0" xfId="0" applyNumberFormat="1" applyFont="1" applyFill="1"/>
    <xf numFmtId="191" fontId="18" fillId="0" borderId="29" xfId="0" applyNumberFormat="1" applyFont="1" applyBorder="1"/>
    <xf numFmtId="179" fontId="11" fillId="0" borderId="6" xfId="0" applyNumberFormat="1" applyFont="1" applyBorder="1"/>
    <xf numFmtId="0" fontId="11" fillId="0" borderId="6" xfId="0" applyFont="1" applyBorder="1" applyAlignment="1">
      <alignment wrapText="1"/>
    </xf>
    <xf numFmtId="0" fontId="11" fillId="0" borderId="40" xfId="0" applyFont="1" applyBorder="1"/>
    <xf numFmtId="179" fontId="11" fillId="0" borderId="40" xfId="0" applyNumberFormat="1" applyFont="1" applyBorder="1"/>
    <xf numFmtId="0" fontId="11" fillId="0" borderId="35" xfId="0" applyFont="1" applyBorder="1" applyAlignment="1">
      <alignment wrapText="1"/>
    </xf>
    <xf numFmtId="174" fontId="20" fillId="0" borderId="6" xfId="0" applyNumberFormat="1" applyFont="1" applyBorder="1"/>
    <xf numFmtId="0" fontId="18" fillId="0" borderId="3" xfId="0" applyFont="1" applyBorder="1"/>
    <xf numFmtId="174" fontId="14" fillId="0" borderId="3" xfId="0" applyNumberFormat="1" applyFont="1" applyBorder="1"/>
    <xf numFmtId="174" fontId="14" fillId="16" borderId="3" xfId="0" applyNumberFormat="1" applyFont="1" applyFill="1" applyBorder="1"/>
    <xf numFmtId="174" fontId="14" fillId="12" borderId="3" xfId="0" applyNumberFormat="1" applyFont="1" applyFill="1" applyBorder="1"/>
    <xf numFmtId="0" fontId="59" fillId="19" borderId="41" xfId="0" applyFont="1" applyFill="1" applyBorder="1"/>
    <xf numFmtId="0" fontId="57" fillId="19" borderId="33" xfId="0" applyFont="1" applyFill="1" applyBorder="1"/>
    <xf numFmtId="0" fontId="59" fillId="19" borderId="29" xfId="0" applyFont="1" applyFill="1" applyBorder="1" applyAlignment="1">
      <alignment horizontal="center" vertical="center" wrapText="1"/>
    </xf>
    <xf numFmtId="14" fontId="59" fillId="19" borderId="29" xfId="0" applyNumberFormat="1" applyFont="1" applyFill="1" applyBorder="1" applyAlignment="1">
      <alignment horizontal="center" vertical="center" wrapText="1"/>
    </xf>
    <xf numFmtId="0" fontId="57" fillId="19" borderId="29" xfId="0" applyFont="1" applyFill="1" applyBorder="1" applyAlignment="1">
      <alignment horizontal="justify" vertical="center" wrapText="1"/>
    </xf>
    <xf numFmtId="164" fontId="57" fillId="19" borderId="29" xfId="0" applyNumberFormat="1" applyFont="1" applyFill="1" applyBorder="1" applyAlignment="1">
      <alignment horizontal="right" vertical="center" wrapText="1"/>
    </xf>
    <xf numFmtId="164" fontId="59" fillId="19" borderId="29" xfId="0" applyNumberFormat="1" applyFont="1" applyFill="1" applyBorder="1" applyAlignment="1">
      <alignment horizontal="right" vertical="center" wrapText="1"/>
    </xf>
    <xf numFmtId="0" fontId="60" fillId="19" borderId="29" xfId="0" applyFont="1" applyFill="1" applyBorder="1" applyAlignment="1">
      <alignment horizontal="justify" vertical="center" wrapText="1"/>
    </xf>
    <xf numFmtId="164" fontId="60" fillId="19" borderId="29" xfId="0" applyNumberFormat="1" applyFont="1" applyFill="1" applyBorder="1" applyAlignment="1">
      <alignment horizontal="right" vertical="center" wrapText="1"/>
    </xf>
    <xf numFmtId="0" fontId="59" fillId="19" borderId="29" xfId="0" applyFont="1" applyFill="1" applyBorder="1" applyAlignment="1">
      <alignment vertical="center" wrapText="1"/>
    </xf>
    <xf numFmtId="0" fontId="57" fillId="19" borderId="29" xfId="0" applyFont="1" applyFill="1" applyBorder="1" applyAlignment="1">
      <alignment vertical="center" wrapText="1"/>
    </xf>
    <xf numFmtId="164" fontId="47" fillId="19" borderId="29" xfId="0" applyNumberFormat="1" applyFont="1" applyFill="1" applyBorder="1" applyAlignment="1">
      <alignment horizontal="right" vertical="center" wrapText="1"/>
    </xf>
    <xf numFmtId="164" fontId="48" fillId="19" borderId="29" xfId="0" applyNumberFormat="1" applyFont="1" applyFill="1" applyBorder="1" applyAlignment="1">
      <alignment horizontal="right" vertical="center" wrapText="1"/>
    </xf>
    <xf numFmtId="191" fontId="14" fillId="19" borderId="0" xfId="0" applyNumberFormat="1" applyFont="1" applyFill="1"/>
    <xf numFmtId="191" fontId="14" fillId="22" borderId="0" xfId="0" applyNumberFormat="1" applyFont="1" applyFill="1"/>
    <xf numFmtId="191" fontId="14" fillId="16" borderId="0" xfId="0" applyNumberFormat="1" applyFont="1" applyFill="1"/>
    <xf numFmtId="191" fontId="18" fillId="0" borderId="0" xfId="0" applyNumberFormat="1" applyFont="1"/>
    <xf numFmtId="0" fontId="59" fillId="19" borderId="1" xfId="0" applyFont="1" applyFill="1" applyBorder="1" applyAlignment="1">
      <alignment horizontal="center" wrapText="1"/>
    </xf>
    <xf numFmtId="0" fontId="57" fillId="19" borderId="1" xfId="0" applyFont="1" applyFill="1" applyBorder="1" applyAlignment="1">
      <alignment horizontal="left" wrapText="1"/>
    </xf>
    <xf numFmtId="179" fontId="57" fillId="19" borderId="1" xfId="0" applyNumberFormat="1" applyFont="1" applyFill="1" applyBorder="1" applyAlignment="1">
      <alignment horizontal="right" wrapText="1"/>
    </xf>
    <xf numFmtId="179" fontId="59" fillId="19" borderId="1" xfId="0" applyNumberFormat="1" applyFont="1" applyFill="1" applyBorder="1" applyAlignment="1">
      <alignment horizontal="right" wrapText="1"/>
    </xf>
    <xf numFmtId="0" fontId="46" fillId="34" borderId="1" xfId="0" applyFont="1" applyFill="1" applyBorder="1"/>
    <xf numFmtId="167" fontId="57" fillId="19" borderId="1" xfId="0" applyNumberFormat="1" applyFont="1" applyFill="1" applyBorder="1" applyAlignment="1">
      <alignment horizontal="right" wrapText="1"/>
    </xf>
    <xf numFmtId="175" fontId="57" fillId="19" borderId="1" xfId="0" applyNumberFormat="1" applyFont="1" applyFill="1" applyBorder="1" applyAlignment="1">
      <alignment horizontal="right" wrapText="1"/>
    </xf>
    <xf numFmtId="175" fontId="56" fillId="19" borderId="1" xfId="0" applyNumberFormat="1" applyFont="1" applyFill="1" applyBorder="1" applyAlignment="1">
      <alignment horizontal="right" wrapText="1"/>
    </xf>
    <xf numFmtId="0" fontId="59" fillId="34" borderId="1" xfId="0" applyFont="1" applyFill="1" applyBorder="1" applyAlignment="1">
      <alignment horizontal="center" vertical="center" wrapText="1"/>
    </xf>
    <xf numFmtId="0" fontId="46" fillId="34" borderId="1" xfId="0" applyFont="1" applyFill="1" applyBorder="1" applyAlignment="1">
      <alignment horizontal="center" vertical="center"/>
    </xf>
    <xf numFmtId="179" fontId="46" fillId="34" borderId="1" xfId="0" applyNumberFormat="1" applyFont="1" applyFill="1" applyBorder="1"/>
    <xf numFmtId="0" fontId="5" fillId="19" borderId="1" xfId="0" applyFont="1" applyFill="1" applyBorder="1" applyAlignment="1">
      <alignment horizontal="center" vertical="center"/>
    </xf>
    <xf numFmtId="176" fontId="5" fillId="19" borderId="1" xfId="0" applyNumberFormat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wrapText="1"/>
    </xf>
    <xf numFmtId="0" fontId="1" fillId="19" borderId="1" xfId="0" applyFont="1" applyFill="1" applyBorder="1" applyAlignment="1">
      <alignment horizontal="center" vertical="center"/>
    </xf>
    <xf numFmtId="179" fontId="5" fillId="19" borderId="1" xfId="0" applyNumberFormat="1" applyFont="1" applyFill="1" applyBorder="1" applyAlignment="1">
      <alignment horizontal="center" vertical="center"/>
    </xf>
    <xf numFmtId="0" fontId="5" fillId="19" borderId="1" xfId="0" applyFont="1" applyFill="1" applyBorder="1"/>
    <xf numFmtId="0" fontId="1" fillId="19" borderId="1" xfId="0" applyFont="1" applyFill="1" applyBorder="1" applyAlignment="1">
      <alignment wrapText="1"/>
    </xf>
    <xf numFmtId="0" fontId="46" fillId="19" borderId="1" xfId="0" applyFont="1" applyFill="1" applyBorder="1"/>
    <xf numFmtId="179" fontId="46" fillId="19" borderId="1" xfId="0" applyNumberFormat="1" applyFont="1" applyFill="1" applyBorder="1" applyAlignment="1">
      <alignment horizontal="center" vertical="center"/>
    </xf>
    <xf numFmtId="0" fontId="5" fillId="34" borderId="1" xfId="0" applyFont="1" applyFill="1" applyBorder="1"/>
    <xf numFmtId="179" fontId="5" fillId="34" borderId="1" xfId="0" applyNumberFormat="1" applyFont="1" applyFill="1" applyBorder="1"/>
    <xf numFmtId="179" fontId="46" fillId="34" borderId="1" xfId="0" applyNumberFormat="1" applyFont="1" applyFill="1" applyBorder="1" applyAlignment="1">
      <alignment horizontal="center" vertical="center"/>
    </xf>
    <xf numFmtId="179" fontId="46" fillId="34" borderId="1" xfId="1" applyNumberFormat="1" applyFont="1" applyFill="1" applyBorder="1" applyAlignment="1">
      <alignment horizontal="center" vertical="center"/>
    </xf>
    <xf numFmtId="3" fontId="59" fillId="19" borderId="29" xfId="0" applyNumberFormat="1" applyFont="1" applyFill="1" applyBorder="1" applyAlignment="1">
      <alignment horizontal="right" vertical="center" wrapText="1"/>
    </xf>
    <xf numFmtId="0" fontId="59" fillId="19" borderId="29" xfId="0" applyFont="1" applyFill="1" applyBorder="1"/>
    <xf numFmtId="0" fontId="57" fillId="19" borderId="29" xfId="0" applyFont="1" applyFill="1" applyBorder="1" applyAlignment="1">
      <alignment vertical="center"/>
    </xf>
    <xf numFmtId="186" fontId="57" fillId="19" borderId="29" xfId="0" applyNumberFormat="1" applyFont="1" applyFill="1" applyBorder="1" applyAlignment="1">
      <alignment vertical="center"/>
    </xf>
    <xf numFmtId="185" fontId="57" fillId="19" borderId="29" xfId="0" applyNumberFormat="1" applyFont="1" applyFill="1" applyBorder="1"/>
    <xf numFmtId="0" fontId="57" fillId="19" borderId="29" xfId="0" applyFont="1" applyFill="1" applyBorder="1" applyAlignment="1">
      <alignment horizontal="left" vertical="top"/>
    </xf>
    <xf numFmtId="0" fontId="57" fillId="19" borderId="29" xfId="0" applyFont="1" applyFill="1" applyBorder="1"/>
    <xf numFmtId="186" fontId="57" fillId="19" borderId="29" xfId="0" applyNumberFormat="1" applyFont="1" applyFill="1" applyBorder="1"/>
    <xf numFmtId="186" fontId="59" fillId="19" borderId="29" xfId="0" applyNumberFormat="1" applyFont="1" applyFill="1" applyBorder="1"/>
    <xf numFmtId="0" fontId="59" fillId="19" borderId="1" xfId="0" applyFont="1" applyFill="1" applyBorder="1" applyAlignment="1">
      <alignment wrapText="1"/>
    </xf>
    <xf numFmtId="180" fontId="59" fillId="19" borderId="1" xfId="0" applyNumberFormat="1" applyFont="1" applyFill="1" applyBorder="1" applyAlignment="1">
      <alignment wrapText="1"/>
    </xf>
    <xf numFmtId="0" fontId="59" fillId="19" borderId="1" xfId="0" applyFont="1" applyFill="1" applyBorder="1" applyAlignment="1">
      <alignment horizontal="right" wrapText="1"/>
    </xf>
    <xf numFmtId="175" fontId="59" fillId="19" borderId="1" xfId="0" applyNumberFormat="1" applyFont="1" applyFill="1" applyBorder="1" applyAlignment="1">
      <alignment horizontal="right" wrapText="1"/>
    </xf>
    <xf numFmtId="0" fontId="59" fillId="35" borderId="1" xfId="0" applyFont="1" applyFill="1" applyBorder="1" applyAlignment="1">
      <alignment wrapText="1"/>
    </xf>
    <xf numFmtId="180" fontId="59" fillId="35" borderId="1" xfId="0" applyNumberFormat="1" applyFont="1" applyFill="1" applyBorder="1" applyAlignment="1">
      <alignment horizontal="center" wrapText="1"/>
    </xf>
    <xf numFmtId="0" fontId="59" fillId="35" borderId="1" xfId="0" applyFont="1" applyFill="1" applyBorder="1" applyAlignment="1">
      <alignment horizontal="center" wrapText="1"/>
    </xf>
    <xf numFmtId="167" fontId="59" fillId="35" borderId="1" xfId="0" applyNumberFormat="1" applyFont="1" applyFill="1" applyBorder="1" applyAlignment="1">
      <alignment horizontal="right" wrapText="1"/>
    </xf>
    <xf numFmtId="175" fontId="47" fillId="19" borderId="1" xfId="0" applyNumberFormat="1" applyFont="1" applyFill="1" applyBorder="1" applyAlignment="1">
      <alignment horizontal="right" wrapText="1"/>
    </xf>
    <xf numFmtId="0" fontId="59" fillId="35" borderId="1" xfId="0" applyFont="1" applyFill="1" applyBorder="1" applyAlignment="1">
      <alignment horizontal="left" wrapText="1"/>
    </xf>
    <xf numFmtId="175" fontId="59" fillId="35" borderId="1" xfId="0" applyNumberFormat="1" applyFont="1" applyFill="1" applyBorder="1" applyAlignment="1">
      <alignment horizontal="right" wrapText="1"/>
    </xf>
    <xf numFmtId="0" fontId="46" fillId="35" borderId="1" xfId="0" applyFont="1" applyFill="1" applyBorder="1"/>
    <xf numFmtId="168" fontId="46" fillId="35" borderId="3" xfId="0" applyNumberFormat="1" applyFont="1" applyFill="1" applyBorder="1"/>
    <xf numFmtId="0" fontId="46" fillId="35" borderId="3" xfId="0" applyFont="1" applyFill="1" applyBorder="1"/>
    <xf numFmtId="0" fontId="57" fillId="19" borderId="15" xfId="0" applyFont="1" applyFill="1" applyBorder="1" applyAlignment="1">
      <alignment horizontal="center" wrapText="1"/>
    </xf>
    <xf numFmtId="3" fontId="57" fillId="19" borderId="29" xfId="0" applyNumberFormat="1" applyFont="1" applyFill="1" applyBorder="1" applyAlignment="1">
      <alignment horizontal="right" wrapText="1"/>
    </xf>
    <xf numFmtId="3" fontId="5" fillId="19" borderId="29" xfId="0" applyNumberFormat="1" applyFont="1" applyFill="1" applyBorder="1"/>
    <xf numFmtId="0" fontId="59" fillId="19" borderId="15" xfId="0" applyFont="1" applyFill="1" applyBorder="1" applyAlignment="1">
      <alignment horizontal="center" wrapText="1"/>
    </xf>
    <xf numFmtId="3" fontId="59" fillId="19" borderId="29" xfId="0" applyNumberFormat="1" applyFont="1" applyFill="1" applyBorder="1" applyAlignment="1">
      <alignment horizontal="right" wrapText="1"/>
    </xf>
    <xf numFmtId="3" fontId="46" fillId="19" borderId="29" xfId="0" applyNumberFormat="1" applyFont="1" applyFill="1" applyBorder="1"/>
    <xf numFmtId="0" fontId="57" fillId="19" borderId="0" xfId="0" applyFont="1" applyFill="1"/>
    <xf numFmtId="185" fontId="13" fillId="0" borderId="0" xfId="0" applyNumberFormat="1" applyFont="1"/>
    <xf numFmtId="0" fontId="59" fillId="19" borderId="3" xfId="0" applyFont="1" applyFill="1" applyBorder="1" applyAlignment="1">
      <alignment wrapText="1"/>
    </xf>
    <xf numFmtId="0" fontId="57" fillId="19" borderId="29" xfId="0" applyFont="1" applyFill="1" applyBorder="1" applyAlignment="1">
      <alignment wrapText="1"/>
    </xf>
    <xf numFmtId="178" fontId="57" fillId="19" borderId="29" xfId="0" applyNumberFormat="1" applyFont="1" applyFill="1" applyBorder="1" applyAlignment="1">
      <alignment horizontal="right" vertical="center" wrapText="1"/>
    </xf>
    <xf numFmtId="178" fontId="47" fillId="19" borderId="29" xfId="0" applyNumberFormat="1" applyFont="1" applyFill="1" applyBorder="1" applyAlignment="1">
      <alignment horizontal="right" vertical="center" wrapText="1"/>
    </xf>
    <xf numFmtId="0" fontId="59" fillId="19" borderId="29" xfId="0" applyFont="1" applyFill="1" applyBorder="1" applyAlignment="1">
      <alignment wrapText="1"/>
    </xf>
    <xf numFmtId="178" fontId="59" fillId="19" borderId="29" xfId="0" applyNumberFormat="1" applyFont="1" applyFill="1" applyBorder="1" applyAlignment="1">
      <alignment horizontal="right" vertical="center" wrapText="1"/>
    </xf>
    <xf numFmtId="178" fontId="48" fillId="19" borderId="29" xfId="0" applyNumberFormat="1" applyFont="1" applyFill="1" applyBorder="1" applyAlignment="1">
      <alignment horizontal="right" vertical="center" wrapText="1"/>
    </xf>
    <xf numFmtId="3" fontId="57" fillId="19" borderId="29" xfId="0" applyNumberFormat="1" applyFont="1" applyFill="1" applyBorder="1" applyAlignment="1">
      <alignment horizontal="right" vertical="center" wrapText="1"/>
    </xf>
    <xf numFmtId="3" fontId="56" fillId="19" borderId="29" xfId="0" applyNumberFormat="1" applyFont="1" applyFill="1" applyBorder="1" applyAlignment="1">
      <alignment horizontal="right" vertical="center" wrapText="1"/>
    </xf>
    <xf numFmtId="0" fontId="60" fillId="19" borderId="29" xfId="0" applyFont="1" applyFill="1" applyBorder="1" applyAlignment="1">
      <alignment vertical="center" wrapText="1"/>
    </xf>
    <xf numFmtId="3" fontId="60" fillId="19" borderId="29" xfId="0" applyNumberFormat="1" applyFont="1" applyFill="1" applyBorder="1" applyAlignment="1">
      <alignment horizontal="right" vertical="center" wrapText="1"/>
    </xf>
    <xf numFmtId="3" fontId="47" fillId="19" borderId="29" xfId="0" applyNumberFormat="1" applyFont="1" applyFill="1" applyBorder="1" applyAlignment="1">
      <alignment horizontal="right" vertical="center" wrapText="1"/>
    </xf>
    <xf numFmtId="3" fontId="48" fillId="19" borderId="29" xfId="0" applyNumberFormat="1" applyFont="1" applyFill="1" applyBorder="1" applyAlignment="1">
      <alignment horizontal="right" vertical="center" wrapText="1"/>
    </xf>
    <xf numFmtId="167" fontId="56" fillId="19" borderId="1" xfId="0" applyNumberFormat="1" applyFont="1" applyFill="1" applyBorder="1" applyAlignment="1">
      <alignment horizontal="right" wrapText="1"/>
    </xf>
    <xf numFmtId="0" fontId="5" fillId="19" borderId="0" xfId="0" applyFont="1" applyFill="1"/>
    <xf numFmtId="167" fontId="61" fillId="35" borderId="1" xfId="0" applyNumberFormat="1" applyFont="1" applyFill="1" applyBorder="1" applyAlignment="1">
      <alignment horizontal="right" wrapText="1"/>
    </xf>
    <xf numFmtId="4" fontId="13" fillId="0" borderId="0" xfId="0" applyNumberFormat="1" applyFont="1"/>
    <xf numFmtId="164" fontId="14" fillId="0" borderId="1" xfId="0" applyNumberFormat="1" applyFont="1" applyBorder="1"/>
    <xf numFmtId="164" fontId="14" fillId="0" borderId="23" xfId="0" applyNumberFormat="1" applyFont="1" applyBorder="1"/>
    <xf numFmtId="164" fontId="23" fillId="0" borderId="1" xfId="0" applyNumberFormat="1" applyFont="1" applyBorder="1"/>
    <xf numFmtId="164" fontId="20" fillId="5" borderId="1" xfId="0" applyNumberFormat="1" applyFont="1" applyFill="1" applyBorder="1" applyAlignment="1">
      <alignment wrapText="1"/>
    </xf>
    <xf numFmtId="164" fontId="20" fillId="5" borderId="23" xfId="0" applyNumberFormat="1" applyFont="1" applyFill="1" applyBorder="1" applyAlignment="1">
      <alignment wrapText="1"/>
    </xf>
    <xf numFmtId="164" fontId="20" fillId="5" borderId="1" xfId="0" applyNumberFormat="1" applyFont="1" applyFill="1" applyBorder="1"/>
    <xf numFmtId="164" fontId="20" fillId="8" borderId="25" xfId="0" applyNumberFormat="1" applyFont="1" applyFill="1" applyBorder="1"/>
    <xf numFmtId="0" fontId="59" fillId="19" borderId="1" xfId="0" applyFont="1" applyFill="1" applyBorder="1" applyAlignment="1">
      <alignment horizontal="left" wrapText="1"/>
    </xf>
    <xf numFmtId="168" fontId="46" fillId="34" borderId="1" xfId="0" applyNumberFormat="1" applyFont="1" applyFill="1" applyBorder="1"/>
    <xf numFmtId="0" fontId="46" fillId="34" borderId="1" xfId="0" applyFont="1" applyFill="1" applyBorder="1" applyAlignment="1">
      <alignment horizontal="center"/>
    </xf>
    <xf numFmtId="0" fontId="57" fillId="19" borderId="1" xfId="0" applyFont="1" applyFill="1" applyBorder="1" applyAlignment="1">
      <alignment wrapText="1"/>
    </xf>
    <xf numFmtId="167" fontId="47" fillId="19" borderId="1" xfId="0" applyNumberFormat="1" applyFont="1" applyFill="1" applyBorder="1" applyAlignment="1">
      <alignment horizontal="right" wrapText="1"/>
    </xf>
    <xf numFmtId="0" fontId="59" fillId="34" borderId="1" xfId="0" applyFont="1" applyFill="1" applyBorder="1" applyAlignment="1">
      <alignment wrapText="1"/>
    </xf>
    <xf numFmtId="167" fontId="59" fillId="34" borderId="1" xfId="0" applyNumberFormat="1" applyFont="1" applyFill="1" applyBorder="1" applyAlignment="1">
      <alignment horizontal="right" wrapText="1"/>
    </xf>
    <xf numFmtId="167" fontId="61" fillId="34" borderId="1" xfId="0" applyNumberFormat="1" applyFont="1" applyFill="1" applyBorder="1" applyAlignment="1">
      <alignment horizontal="right" wrapText="1"/>
    </xf>
    <xf numFmtId="0" fontId="48" fillId="19" borderId="29" xfId="3" applyFont="1" applyFill="1" applyBorder="1" applyAlignment="1">
      <alignment horizontal="justify" vertical="center" wrapText="1"/>
    </xf>
    <xf numFmtId="14" fontId="48" fillId="19" borderId="29" xfId="3" applyNumberFormat="1" applyFont="1" applyFill="1" applyBorder="1" applyAlignment="1">
      <alignment horizontal="center" vertical="center" wrapText="1"/>
    </xf>
    <xf numFmtId="0" fontId="47" fillId="19" borderId="29" xfId="3" applyFont="1" applyFill="1" applyBorder="1" applyAlignment="1">
      <alignment vertical="center" wrapText="1"/>
    </xf>
    <xf numFmtId="164" fontId="47" fillId="19" borderId="29" xfId="3" applyNumberFormat="1" applyFont="1" applyFill="1" applyBorder="1" applyAlignment="1">
      <alignment vertical="center" wrapText="1"/>
    </xf>
    <xf numFmtId="0" fontId="49" fillId="19" borderId="29" xfId="3" applyFont="1" applyFill="1" applyBorder="1" applyAlignment="1">
      <alignment vertical="center" wrapText="1"/>
    </xf>
    <xf numFmtId="164" fontId="49" fillId="19" borderId="29" xfId="3" applyNumberFormat="1" applyFont="1" applyFill="1" applyBorder="1" applyAlignment="1">
      <alignment vertical="center" wrapText="1"/>
    </xf>
    <xf numFmtId="164" fontId="47" fillId="19" borderId="29" xfId="3" applyNumberFormat="1" applyFont="1" applyFill="1" applyBorder="1" applyAlignment="1">
      <alignment horizontal="right" vertical="center" wrapText="1"/>
    </xf>
    <xf numFmtId="0" fontId="47" fillId="19" borderId="29" xfId="3" applyFont="1" applyFill="1" applyBorder="1" applyAlignment="1">
      <alignment horizontal="justify" vertical="center" wrapText="1"/>
    </xf>
    <xf numFmtId="0" fontId="67" fillId="0" borderId="29" xfId="12" applyFont="1" applyBorder="1" applyAlignment="1">
      <alignment wrapText="1"/>
    </xf>
    <xf numFmtId="172" fontId="67" fillId="0" borderId="29" xfId="12" applyNumberFormat="1" applyFont="1" applyBorder="1"/>
    <xf numFmtId="0" fontId="67" fillId="0" borderId="29" xfId="12" applyFont="1" applyBorder="1"/>
    <xf numFmtId="169" fontId="67" fillId="0" borderId="29" xfId="12" applyNumberFormat="1" applyFont="1" applyBorder="1"/>
    <xf numFmtId="9" fontId="67" fillId="0" borderId="29" xfId="12" applyNumberFormat="1" applyFont="1" applyBorder="1"/>
    <xf numFmtId="10" fontId="67" fillId="0" borderId="29" xfId="12" applyNumberFormat="1" applyFont="1" applyBorder="1"/>
    <xf numFmtId="0" fontId="66" fillId="0" borderId="29" xfId="12" applyFont="1" applyBorder="1" applyAlignment="1">
      <alignment wrapText="1"/>
    </xf>
    <xf numFmtId="0" fontId="12" fillId="0" borderId="29" xfId="0" applyFont="1" applyBorder="1" applyAlignment="1">
      <alignment vertical="center" wrapText="1"/>
    </xf>
    <xf numFmtId="0" fontId="67" fillId="30" borderId="29" xfId="12" applyFont="1" applyFill="1" applyBorder="1" applyAlignment="1">
      <alignment wrapText="1"/>
    </xf>
    <xf numFmtId="0" fontId="25" fillId="5" borderId="9" xfId="0" applyFont="1" applyFill="1" applyBorder="1"/>
    <xf numFmtId="187" fontId="14" fillId="0" borderId="9" xfId="1" applyNumberFormat="1" applyFont="1" applyBorder="1" applyAlignment="1">
      <alignment wrapText="1"/>
    </xf>
    <xf numFmtId="187" fontId="25" fillId="5" borderId="9" xfId="1" applyNumberFormat="1" applyFont="1" applyFill="1" applyBorder="1"/>
    <xf numFmtId="187" fontId="20" fillId="5" borderId="9" xfId="1" applyNumberFormat="1" applyFont="1" applyFill="1" applyBorder="1"/>
    <xf numFmtId="187" fontId="20" fillId="8" borderId="57" xfId="1" applyNumberFormat="1" applyFont="1" applyFill="1" applyBorder="1"/>
    <xf numFmtId="0" fontId="18" fillId="0" borderId="0" xfId="0" applyFont="1" applyAlignment="1">
      <alignment horizontal="left"/>
    </xf>
    <xf numFmtId="44" fontId="14" fillId="0" borderId="0" xfId="0" applyNumberFormat="1" applyFont="1"/>
    <xf numFmtId="165" fontId="68" fillId="0" borderId="29" xfId="0" applyNumberFormat="1" applyFont="1" applyBorder="1" applyAlignment="1">
      <alignment horizontal="right" vertical="center" wrapText="1"/>
    </xf>
    <xf numFmtId="165" fontId="21" fillId="0" borderId="29" xfId="0" applyNumberFormat="1" applyFont="1" applyBorder="1" applyAlignment="1">
      <alignment horizontal="right" vertical="center" wrapText="1"/>
    </xf>
    <xf numFmtId="165" fontId="68" fillId="0" borderId="29" xfId="0" applyNumberFormat="1" applyFont="1" applyBorder="1" applyAlignment="1">
      <alignment horizontal="left" vertical="center" wrapText="1"/>
    </xf>
    <xf numFmtId="0" fontId="20" fillId="16" borderId="0" xfId="0" applyFont="1" applyFill="1" applyAlignment="1">
      <alignment horizontal="right"/>
    </xf>
    <xf numFmtId="0" fontId="14" fillId="16" borderId="22" xfId="0" applyFont="1" applyFill="1" applyBorder="1" applyAlignment="1">
      <alignment wrapText="1"/>
    </xf>
    <xf numFmtId="187" fontId="14" fillId="16" borderId="9" xfId="1" applyNumberFormat="1" applyFont="1" applyFill="1" applyBorder="1" applyAlignment="1">
      <alignment wrapText="1"/>
    </xf>
    <xf numFmtId="164" fontId="14" fillId="16" borderId="1" xfId="0" applyNumberFormat="1" applyFont="1" applyFill="1" applyBorder="1"/>
    <xf numFmtId="164" fontId="14" fillId="16" borderId="23" xfId="0" applyNumberFormat="1" applyFont="1" applyFill="1" applyBorder="1"/>
    <xf numFmtId="164" fontId="23" fillId="16" borderId="1" xfId="0" applyNumberFormat="1" applyFont="1" applyFill="1" applyBorder="1"/>
    <xf numFmtId="187" fontId="14" fillId="0" borderId="9" xfId="1" applyNumberFormat="1" applyFont="1" applyFill="1" applyBorder="1" applyAlignment="1">
      <alignment wrapText="1"/>
    </xf>
    <xf numFmtId="0" fontId="13" fillId="0" borderId="22" xfId="0" applyFont="1" applyBorder="1" applyAlignment="1">
      <alignment wrapText="1"/>
    </xf>
    <xf numFmtId="187" fontId="13" fillId="0" borderId="9" xfId="1" applyNumberFormat="1" applyFont="1" applyFill="1" applyBorder="1" applyAlignment="1">
      <alignment wrapText="1"/>
    </xf>
    <xf numFmtId="0" fontId="14" fillId="16" borderId="1" xfId="0" applyFont="1" applyFill="1" applyBorder="1"/>
    <xf numFmtId="166" fontId="14" fillId="16" borderId="1" xfId="1" applyFont="1" applyFill="1" applyBorder="1"/>
    <xf numFmtId="174" fontId="14" fillId="36" borderId="1" xfId="0" applyNumberFormat="1" applyFont="1" applyFill="1" applyBorder="1"/>
    <xf numFmtId="174" fontId="14" fillId="16" borderId="16" xfId="0" applyNumberFormat="1" applyFont="1" applyFill="1" applyBorder="1"/>
    <xf numFmtId="166" fontId="45" fillId="0" borderId="29" xfId="4" applyFont="1" applyFill="1" applyBorder="1"/>
    <xf numFmtId="175" fontId="18" fillId="0" borderId="1" xfId="0" applyNumberFormat="1" applyFont="1" applyBorder="1" applyAlignment="1">
      <alignment horizontal="right"/>
    </xf>
    <xf numFmtId="0" fontId="43" fillId="0" borderId="1" xfId="0" applyFont="1" applyBorder="1"/>
    <xf numFmtId="176" fontId="43" fillId="0" borderId="1" xfId="0" applyNumberFormat="1" applyFont="1" applyBorder="1" applyAlignment="1">
      <alignment horizontal="right"/>
    </xf>
    <xf numFmtId="0" fontId="38" fillId="0" borderId="1" xfId="0" applyFont="1" applyBorder="1"/>
    <xf numFmtId="176" fontId="38" fillId="0" borderId="1" xfId="0" applyNumberFormat="1" applyFont="1" applyBorder="1" applyAlignment="1">
      <alignment horizontal="right"/>
    </xf>
    <xf numFmtId="176" fontId="38" fillId="0" borderId="1" xfId="0" applyNumberFormat="1" applyFont="1" applyBorder="1"/>
    <xf numFmtId="0" fontId="44" fillId="0" borderId="1" xfId="0" applyFont="1" applyBorder="1"/>
    <xf numFmtId="176" fontId="44" fillId="0" borderId="1" xfId="0" applyNumberFormat="1" applyFont="1" applyBorder="1" applyAlignment="1">
      <alignment horizontal="right"/>
    </xf>
    <xf numFmtId="0" fontId="18" fillId="0" borderId="6" xfId="0" applyFont="1" applyBorder="1"/>
    <xf numFmtId="175" fontId="18" fillId="0" borderId="6" xfId="0" applyNumberFormat="1" applyFont="1" applyBorder="1"/>
    <xf numFmtId="174" fontId="13" fillId="0" borderId="29" xfId="0" applyNumberFormat="1" applyFont="1" applyBorder="1"/>
    <xf numFmtId="174" fontId="20" fillId="18" borderId="1" xfId="0" applyNumberFormat="1" applyFont="1" applyFill="1" applyBorder="1"/>
    <xf numFmtId="174" fontId="14" fillId="37" borderId="1" xfId="0" applyNumberFormat="1" applyFont="1" applyFill="1" applyBorder="1"/>
    <xf numFmtId="174" fontId="20" fillId="18" borderId="29" xfId="0" applyNumberFormat="1" applyFont="1" applyFill="1" applyBorder="1"/>
    <xf numFmtId="3" fontId="20" fillId="0" borderId="29" xfId="0" applyNumberFormat="1" applyFont="1" applyBorder="1"/>
    <xf numFmtId="0" fontId="63" fillId="38" borderId="58" xfId="0" applyFont="1" applyFill="1" applyBorder="1" applyAlignment="1">
      <alignment vertical="center" wrapText="1"/>
    </xf>
    <xf numFmtId="0" fontId="63" fillId="38" borderId="59" xfId="0" applyFont="1" applyFill="1" applyBorder="1" applyAlignment="1">
      <alignment vertical="center" wrapText="1"/>
    </xf>
    <xf numFmtId="0" fontId="12" fillId="0" borderId="41" xfId="0" applyFont="1" applyBorder="1" applyAlignment="1">
      <alignment vertical="center"/>
    </xf>
    <xf numFmtId="0" fontId="12" fillId="0" borderId="33" xfId="0" applyFont="1" applyBorder="1" applyAlignment="1">
      <alignment horizontal="right" vertical="center"/>
    </xf>
    <xf numFmtId="178" fontId="12" fillId="0" borderId="33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horizontal="right" vertical="center"/>
    </xf>
    <xf numFmtId="178" fontId="12" fillId="0" borderId="43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/>
    </xf>
    <xf numFmtId="178" fontId="12" fillId="0" borderId="42" xfId="0" applyNumberFormat="1" applyFont="1" applyBorder="1" applyAlignment="1">
      <alignment horizontal="right" vertical="center"/>
    </xf>
    <xf numFmtId="0" fontId="12" fillId="38" borderId="42" xfId="0" applyFont="1" applyFill="1" applyBorder="1" applyAlignment="1">
      <alignment vertical="center"/>
    </xf>
    <xf numFmtId="0" fontId="12" fillId="38" borderId="43" xfId="0" applyFont="1" applyFill="1" applyBorder="1" applyAlignment="1">
      <alignment vertical="center"/>
    </xf>
    <xf numFmtId="178" fontId="63" fillId="38" borderId="43" xfId="0" applyNumberFormat="1" applyFont="1" applyFill="1" applyBorder="1" applyAlignment="1">
      <alignment horizontal="right" vertical="center"/>
    </xf>
    <xf numFmtId="178" fontId="14" fillId="0" borderId="0" xfId="0" applyNumberFormat="1" applyFont="1"/>
    <xf numFmtId="178" fontId="35" fillId="0" borderId="14" xfId="0" applyNumberFormat="1" applyFont="1" applyBorder="1" applyAlignment="1">
      <alignment horizontal="right" vertical="center" wrapText="1"/>
    </xf>
    <xf numFmtId="178" fontId="51" fillId="38" borderId="14" xfId="0" applyNumberFormat="1" applyFont="1" applyFill="1" applyBorder="1" applyAlignment="1">
      <alignment horizontal="right" vertical="center" wrapText="1"/>
    </xf>
    <xf numFmtId="178" fontId="12" fillId="0" borderId="33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78" fontId="12" fillId="0" borderId="42" xfId="0" applyNumberFormat="1" applyFont="1" applyBorder="1" applyAlignment="1">
      <alignment horizontal="center" vertical="center"/>
    </xf>
    <xf numFmtId="178" fontId="35" fillId="0" borderId="13" xfId="0" applyNumberFormat="1" applyFont="1" applyBorder="1" applyAlignment="1">
      <alignment horizontal="right" vertical="center" wrapText="1"/>
    </xf>
    <xf numFmtId="174" fontId="14" fillId="39" borderId="0" xfId="0" applyNumberFormat="1" applyFont="1" applyFill="1"/>
    <xf numFmtId="174" fontId="13" fillId="16" borderId="0" xfId="0" applyNumberFormat="1" applyFont="1" applyFill="1"/>
    <xf numFmtId="174" fontId="14" fillId="29" borderId="0" xfId="0" applyNumberFormat="1" applyFont="1" applyFill="1"/>
    <xf numFmtId="178" fontId="35" fillId="0" borderId="6" xfId="0" applyNumberFormat="1" applyFont="1" applyBorder="1" applyAlignment="1">
      <alignment horizontal="right" vertical="center" wrapText="1"/>
    </xf>
    <xf numFmtId="178" fontId="51" fillId="0" borderId="13" xfId="0" applyNumberFormat="1" applyFont="1" applyBorder="1" applyAlignment="1">
      <alignment horizontal="right" vertical="center" wrapText="1"/>
    </xf>
    <xf numFmtId="0" fontId="51" fillId="38" borderId="4" xfId="0" applyFont="1" applyFill="1" applyBorder="1" applyAlignment="1">
      <alignment horizontal="center" vertical="center" wrapText="1"/>
    </xf>
    <xf numFmtId="0" fontId="51" fillId="38" borderId="12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51" fillId="38" borderId="13" xfId="0" applyFont="1" applyFill="1" applyBorder="1" applyAlignment="1">
      <alignment vertical="center" wrapText="1"/>
    </xf>
    <xf numFmtId="178" fontId="69" fillId="38" borderId="14" xfId="0" applyNumberFormat="1" applyFont="1" applyFill="1" applyBorder="1" applyAlignment="1">
      <alignment horizontal="right" vertical="center" wrapText="1"/>
    </xf>
    <xf numFmtId="167" fontId="18" fillId="0" borderId="1" xfId="0" applyNumberFormat="1" applyFont="1" applyBorder="1" applyAlignment="1">
      <alignment horizontal="right"/>
    </xf>
    <xf numFmtId="179" fontId="38" fillId="0" borderId="1" xfId="0" applyNumberFormat="1" applyFont="1" applyBorder="1" applyAlignment="1">
      <alignment horizontal="right"/>
    </xf>
    <xf numFmtId="0" fontId="47" fillId="0" borderId="6" xfId="6" applyFont="1"/>
    <xf numFmtId="174" fontId="47" fillId="0" borderId="6" xfId="6" applyNumberFormat="1" applyFont="1"/>
    <xf numFmtId="0" fontId="48" fillId="0" borderId="6" xfId="6" applyFont="1"/>
    <xf numFmtId="174" fontId="48" fillId="0" borderId="6" xfId="6" applyNumberFormat="1" applyFont="1"/>
    <xf numFmtId="166" fontId="47" fillId="0" borderId="6" xfId="16" applyFont="1" applyFill="1"/>
    <xf numFmtId="0" fontId="70" fillId="0" borderId="6" xfId="6" applyFont="1"/>
    <xf numFmtId="174" fontId="70" fillId="0" borderId="6" xfId="6" applyNumberFormat="1" applyFont="1"/>
    <xf numFmtId="0" fontId="48" fillId="0" borderId="60" xfId="3" applyFont="1" applyBorder="1"/>
    <xf numFmtId="0" fontId="47" fillId="0" borderId="44" xfId="3" applyFont="1" applyBorder="1"/>
    <xf numFmtId="166" fontId="47" fillId="0" borderId="61" xfId="16" applyFont="1" applyFill="1" applyBorder="1"/>
    <xf numFmtId="0" fontId="47" fillId="0" borderId="6" xfId="6" applyFont="1" applyAlignment="1">
      <alignment horizontal="right"/>
    </xf>
    <xf numFmtId="0" fontId="48" fillId="0" borderId="62" xfId="3" applyFont="1" applyBorder="1"/>
    <xf numFmtId="166" fontId="47" fillId="0" borderId="63" xfId="16" applyFont="1" applyFill="1" applyBorder="1"/>
    <xf numFmtId="0" fontId="47" fillId="0" borderId="62" xfId="3" applyFont="1" applyBorder="1"/>
    <xf numFmtId="174" fontId="47" fillId="0" borderId="6" xfId="3" applyNumberFormat="1" applyFont="1"/>
    <xf numFmtId="166" fontId="48" fillId="0" borderId="63" xfId="16" applyFont="1" applyFill="1" applyBorder="1"/>
    <xf numFmtId="0" fontId="48" fillId="0" borderId="64" xfId="3" applyFont="1" applyBorder="1"/>
    <xf numFmtId="0" fontId="48" fillId="0" borderId="65" xfId="3" applyFont="1" applyBorder="1"/>
    <xf numFmtId="166" fontId="48" fillId="0" borderId="66" xfId="16" applyFont="1" applyFill="1" applyBorder="1"/>
    <xf numFmtId="166" fontId="47" fillId="0" borderId="6" xfId="16" applyFont="1" applyFill="1" applyBorder="1"/>
    <xf numFmtId="166" fontId="47" fillId="0" borderId="6" xfId="16" applyFont="1"/>
    <xf numFmtId="0" fontId="47" fillId="0" borderId="64" xfId="3" applyFont="1" applyBorder="1"/>
    <xf numFmtId="0" fontId="47" fillId="0" borderId="65" xfId="3" applyFont="1" applyBorder="1"/>
    <xf numFmtId="185" fontId="48" fillId="0" borderId="66" xfId="16" applyNumberFormat="1" applyFont="1" applyFill="1" applyBorder="1"/>
    <xf numFmtId="0" fontId="47" fillId="0" borderId="29" xfId="16" applyNumberFormat="1" applyFont="1" applyBorder="1"/>
    <xf numFmtId="185" fontId="47" fillId="0" borderId="29" xfId="3" applyNumberFormat="1" applyFont="1" applyBorder="1"/>
    <xf numFmtId="0" fontId="47" fillId="0" borderId="6" xfId="3" applyFont="1" applyAlignment="1">
      <alignment wrapText="1"/>
    </xf>
    <xf numFmtId="0" fontId="47" fillId="0" borderId="29" xfId="16" applyNumberFormat="1" applyFont="1" applyFill="1" applyBorder="1" applyAlignment="1">
      <alignment horizontal="left"/>
    </xf>
    <xf numFmtId="0" fontId="47" fillId="16" borderId="29" xfId="16" applyNumberFormat="1" applyFont="1" applyFill="1" applyBorder="1"/>
    <xf numFmtId="185" fontId="47" fillId="16" borderId="29" xfId="3" applyNumberFormat="1" applyFont="1" applyFill="1" applyBorder="1"/>
    <xf numFmtId="166" fontId="71" fillId="0" borderId="6" xfId="16" applyFont="1"/>
    <xf numFmtId="166" fontId="16" fillId="0" borderId="6" xfId="16" applyFill="1"/>
    <xf numFmtId="0" fontId="48" fillId="0" borderId="36" xfId="3" applyFont="1" applyBorder="1"/>
    <xf numFmtId="0" fontId="48" fillId="0" borderId="37" xfId="3" applyFont="1" applyBorder="1"/>
    <xf numFmtId="0" fontId="48" fillId="0" borderId="29" xfId="6" applyFont="1" applyBorder="1"/>
    <xf numFmtId="174" fontId="48" fillId="0" borderId="29" xfId="6" applyNumberFormat="1" applyFont="1" applyBorder="1"/>
    <xf numFmtId="0" fontId="48" fillId="0" borderId="35" xfId="6" applyFont="1" applyBorder="1"/>
    <xf numFmtId="0" fontId="47" fillId="0" borderId="29" xfId="6" applyFont="1" applyBorder="1"/>
    <xf numFmtId="174" fontId="47" fillId="0" borderId="29" xfId="6" applyNumberFormat="1" applyFont="1" applyBorder="1"/>
    <xf numFmtId="0" fontId="49" fillId="0" borderId="29" xfId="6" applyFont="1" applyBorder="1" applyAlignment="1">
      <alignment horizontal="center" vertical="top" wrapText="1"/>
    </xf>
    <xf numFmtId="0" fontId="48" fillId="0" borderId="29" xfId="6" applyFont="1" applyBorder="1" applyAlignment="1">
      <alignment horizontal="center" vertical="top" wrapText="1"/>
    </xf>
    <xf numFmtId="0" fontId="48" fillId="40" borderId="29" xfId="6" applyFont="1" applyFill="1" applyBorder="1" applyAlignment="1">
      <alignment horizontal="center" vertical="top" wrapText="1"/>
    </xf>
    <xf numFmtId="174" fontId="47" fillId="40" borderId="29" xfId="6" applyNumberFormat="1" applyFont="1" applyFill="1" applyBorder="1"/>
    <xf numFmtId="166" fontId="16" fillId="0" borderId="29" xfId="16" applyBorder="1"/>
    <xf numFmtId="166" fontId="47" fillId="0" borderId="30" xfId="16" applyFont="1" applyFill="1" applyBorder="1"/>
    <xf numFmtId="192" fontId="48" fillId="0" borderId="38" xfId="16" applyNumberFormat="1" applyFont="1" applyFill="1" applyBorder="1"/>
    <xf numFmtId="166" fontId="48" fillId="0" borderId="6" xfId="16" applyFont="1" applyFill="1"/>
    <xf numFmtId="166" fontId="47" fillId="0" borderId="6" xfId="16" applyFont="1" applyBorder="1"/>
    <xf numFmtId="0" fontId="42" fillId="0" borderId="6" xfId="3" applyFont="1"/>
    <xf numFmtId="0" fontId="42" fillId="0" borderId="6" xfId="3" applyFont="1" applyAlignment="1">
      <alignment horizontal="center"/>
    </xf>
    <xf numFmtId="0" fontId="55" fillId="0" borderId="6" xfId="3" applyFont="1" applyAlignment="1">
      <alignment vertical="center" wrapText="1"/>
    </xf>
    <xf numFmtId="0" fontId="55" fillId="0" borderId="6" xfId="3" applyFont="1" applyAlignment="1">
      <alignment horizontal="right" vertical="center" wrapText="1"/>
    </xf>
    <xf numFmtId="166" fontId="0" fillId="0" borderId="6" xfId="16" applyFont="1"/>
    <xf numFmtId="0" fontId="52" fillId="0" borderId="6" xfId="3" applyFont="1" applyAlignment="1">
      <alignment vertical="center" wrapText="1"/>
    </xf>
    <xf numFmtId="164" fontId="55" fillId="0" borderId="6" xfId="3" applyNumberFormat="1" applyFont="1" applyAlignment="1">
      <alignment horizontal="right" vertical="center" wrapText="1"/>
    </xf>
    <xf numFmtId="187" fontId="48" fillId="0" borderId="6" xfId="16" applyNumberFormat="1" applyFont="1" applyFill="1"/>
    <xf numFmtId="0" fontId="45" fillId="19" borderId="0" xfId="0" applyFont="1" applyFill="1"/>
    <xf numFmtId="40" fontId="45" fillId="19" borderId="0" xfId="1" applyNumberFormat="1" applyFont="1" applyFill="1" applyAlignment="1"/>
    <xf numFmtId="0" fontId="37" fillId="19" borderId="0" xfId="0" applyFont="1" applyFill="1"/>
    <xf numFmtId="40" fontId="37" fillId="19" borderId="0" xfId="1" applyNumberFormat="1" applyFont="1" applyFill="1" applyAlignment="1"/>
    <xf numFmtId="40" fontId="45" fillId="0" borderId="0" xfId="0" applyNumberFormat="1" applyFont="1"/>
    <xf numFmtId="166" fontId="37" fillId="0" borderId="0" xfId="1" applyFont="1"/>
    <xf numFmtId="0" fontId="65" fillId="0" borderId="6" xfId="3" applyFont="1"/>
    <xf numFmtId="0" fontId="65" fillId="0" borderId="29" xfId="3" applyFont="1" applyBorder="1"/>
    <xf numFmtId="0" fontId="64" fillId="0" borderId="29" xfId="3" applyFont="1" applyBorder="1"/>
    <xf numFmtId="0" fontId="65" fillId="41" borderId="29" xfId="3" applyFont="1" applyFill="1" applyBorder="1"/>
    <xf numFmtId="166" fontId="65" fillId="41" borderId="29" xfId="4" applyFont="1" applyFill="1" applyBorder="1"/>
    <xf numFmtId="166" fontId="64" fillId="41" borderId="29" xfId="4" applyFont="1" applyFill="1" applyBorder="1"/>
    <xf numFmtId="0" fontId="65" fillId="42" borderId="29" xfId="3" applyFont="1" applyFill="1" applyBorder="1"/>
    <xf numFmtId="166" fontId="65" fillId="42" borderId="29" xfId="4" applyFont="1" applyFill="1" applyBorder="1"/>
    <xf numFmtId="166" fontId="64" fillId="42" borderId="29" xfId="4" applyFont="1" applyFill="1" applyBorder="1"/>
    <xf numFmtId="0" fontId="65" fillId="43" borderId="29" xfId="3" applyFont="1" applyFill="1" applyBorder="1"/>
    <xf numFmtId="166" fontId="65" fillId="43" borderId="29" xfId="4" applyFont="1" applyFill="1" applyBorder="1"/>
    <xf numFmtId="166" fontId="64" fillId="43" borderId="29" xfId="4" applyFont="1" applyFill="1" applyBorder="1"/>
    <xf numFmtId="0" fontId="65" fillId="44" borderId="29" xfId="3" applyFont="1" applyFill="1" applyBorder="1"/>
    <xf numFmtId="166" fontId="65" fillId="44" borderId="29" xfId="4" applyFont="1" applyFill="1" applyBorder="1"/>
    <xf numFmtId="166" fontId="64" fillId="44" borderId="29" xfId="4" applyFont="1" applyFill="1" applyBorder="1"/>
    <xf numFmtId="0" fontId="65" fillId="43" borderId="6" xfId="3" applyFont="1" applyFill="1"/>
    <xf numFmtId="166" fontId="65" fillId="43" borderId="6" xfId="4" applyFont="1" applyFill="1"/>
    <xf numFmtId="166" fontId="64" fillId="43" borderId="35" xfId="4" applyFont="1" applyFill="1" applyBorder="1"/>
    <xf numFmtId="166" fontId="64" fillId="43" borderId="6" xfId="4" applyFont="1" applyFill="1"/>
    <xf numFmtId="166" fontId="65" fillId="43" borderId="35" xfId="4" applyFont="1" applyFill="1" applyBorder="1"/>
    <xf numFmtId="166" fontId="64" fillId="0" borderId="6" xfId="3" applyNumberFormat="1" applyFont="1"/>
    <xf numFmtId="166" fontId="65" fillId="0" borderId="6" xfId="4" applyFont="1"/>
    <xf numFmtId="166" fontId="64" fillId="0" borderId="6" xfId="4" applyFont="1"/>
    <xf numFmtId="185" fontId="65" fillId="0" borderId="6" xfId="3" applyNumberFormat="1" applyFont="1"/>
    <xf numFmtId="185" fontId="64" fillId="0" borderId="6" xfId="3" applyNumberFormat="1" applyFont="1"/>
    <xf numFmtId="0" fontId="64" fillId="0" borderId="6" xfId="3" applyFont="1"/>
    <xf numFmtId="0" fontId="64" fillId="42" borderId="6" xfId="3" applyFont="1" applyFill="1"/>
    <xf numFmtId="166" fontId="64" fillId="42" borderId="6" xfId="3" applyNumberFormat="1" applyFont="1" applyFill="1"/>
    <xf numFmtId="166" fontId="65" fillId="0" borderId="6" xfId="3" applyNumberFormat="1" applyFont="1"/>
    <xf numFmtId="0" fontId="64" fillId="45" borderId="6" xfId="3" applyFont="1" applyFill="1"/>
    <xf numFmtId="166" fontId="64" fillId="45" borderId="6" xfId="3" applyNumberFormat="1" applyFont="1" applyFill="1"/>
    <xf numFmtId="185" fontId="64" fillId="45" borderId="6" xfId="3" applyNumberFormat="1" applyFont="1" applyFill="1"/>
    <xf numFmtId="0" fontId="64" fillId="43" borderId="6" xfId="3" applyFont="1" applyFill="1"/>
    <xf numFmtId="166" fontId="64" fillId="43" borderId="6" xfId="3" applyNumberFormat="1" applyFont="1" applyFill="1"/>
    <xf numFmtId="0" fontId="64" fillId="44" borderId="6" xfId="3" applyFont="1" applyFill="1"/>
    <xf numFmtId="166" fontId="64" fillId="44" borderId="6" xfId="3" applyNumberFormat="1" applyFont="1" applyFill="1"/>
    <xf numFmtId="166" fontId="65" fillId="0" borderId="0" xfId="1" applyFont="1"/>
    <xf numFmtId="0" fontId="65" fillId="46" borderId="29" xfId="3" applyFont="1" applyFill="1" applyBorder="1"/>
    <xf numFmtId="49" fontId="1" fillId="0" borderId="29" xfId="16" applyNumberFormat="1" applyFont="1" applyBorder="1"/>
    <xf numFmtId="166" fontId="1" fillId="0" borderId="29" xfId="16" applyFont="1" applyFill="1" applyBorder="1"/>
    <xf numFmtId="166" fontId="1" fillId="0" borderId="29" xfId="16" applyFont="1" applyFill="1" applyBorder="1" applyAlignment="1">
      <alignment wrapText="1"/>
    </xf>
    <xf numFmtId="49" fontId="46" fillId="47" borderId="29" xfId="16" applyNumberFormat="1" applyFont="1" applyFill="1" applyBorder="1" applyAlignment="1"/>
    <xf numFmtId="49" fontId="46" fillId="47" borderId="29" xfId="16" applyNumberFormat="1" applyFont="1" applyFill="1" applyBorder="1" applyAlignment="1">
      <alignment horizontal="center"/>
    </xf>
    <xf numFmtId="166" fontId="46" fillId="47" borderId="29" xfId="16" applyFont="1" applyFill="1" applyBorder="1"/>
    <xf numFmtId="166" fontId="46" fillId="0" borderId="6" xfId="16" applyFont="1" applyFill="1" applyBorder="1" applyAlignment="1">
      <alignment wrapText="1"/>
    </xf>
    <xf numFmtId="49" fontId="1" fillId="0" borderId="29" xfId="16" applyNumberFormat="1" applyFont="1" applyFill="1" applyBorder="1"/>
    <xf numFmtId="166" fontId="1" fillId="0" borderId="6" xfId="16" applyFont="1" applyFill="1" applyBorder="1"/>
    <xf numFmtId="166" fontId="47" fillId="0" borderId="6" xfId="19" applyFont="1" applyBorder="1"/>
    <xf numFmtId="49" fontId="46" fillId="39" borderId="29" xfId="16" applyNumberFormat="1" applyFont="1" applyFill="1" applyBorder="1" applyAlignment="1"/>
    <xf numFmtId="49" fontId="46" fillId="39" borderId="29" xfId="16" applyNumberFormat="1" applyFont="1" applyFill="1" applyBorder="1" applyAlignment="1">
      <alignment horizontal="center"/>
    </xf>
    <xf numFmtId="0" fontId="48" fillId="39" borderId="29" xfId="3" applyFont="1" applyFill="1" applyBorder="1"/>
    <xf numFmtId="166" fontId="46" fillId="39" borderId="29" xfId="16" applyFont="1" applyFill="1" applyBorder="1"/>
    <xf numFmtId="166" fontId="48" fillId="51" borderId="38" xfId="16" applyFont="1" applyFill="1" applyBorder="1"/>
    <xf numFmtId="166" fontId="48" fillId="51" borderId="66" xfId="16" applyFont="1" applyFill="1" applyBorder="1"/>
    <xf numFmtId="166" fontId="47" fillId="51" borderId="63" xfId="16" applyFont="1" applyFill="1" applyBorder="1"/>
    <xf numFmtId="166" fontId="47" fillId="51" borderId="6" xfId="16" applyFont="1" applyFill="1"/>
    <xf numFmtId="185" fontId="47" fillId="51" borderId="63" xfId="16" applyNumberFormat="1" applyFont="1" applyFill="1" applyBorder="1"/>
    <xf numFmtId="166" fontId="47" fillId="51" borderId="29" xfId="16" applyFont="1" applyFill="1" applyBorder="1"/>
    <xf numFmtId="0" fontId="72" fillId="48" borderId="29" xfId="0" applyFont="1" applyFill="1" applyBorder="1"/>
    <xf numFmtId="0" fontId="43" fillId="0" borderId="29" xfId="0" applyFont="1" applyBorder="1"/>
    <xf numFmtId="187" fontId="43" fillId="0" borderId="29" xfId="1" applyNumberFormat="1" applyFont="1" applyFill="1" applyBorder="1"/>
    <xf numFmtId="187" fontId="43" fillId="0" borderId="29" xfId="1" applyNumberFormat="1" applyFont="1" applyFill="1" applyBorder="1" applyAlignment="1"/>
    <xf numFmtId="187" fontId="43" fillId="0" borderId="29" xfId="1" applyNumberFormat="1" applyFont="1" applyBorder="1"/>
    <xf numFmtId="9" fontId="73" fillId="0" borderId="29" xfId="0" applyNumberFormat="1" applyFont="1" applyBorder="1" applyAlignment="1">
      <alignment horizontal="right"/>
    </xf>
    <xf numFmtId="187" fontId="73" fillId="0" borderId="29" xfId="1" applyNumberFormat="1" applyFont="1" applyBorder="1"/>
    <xf numFmtId="9" fontId="73" fillId="0" borderId="29" xfId="0" applyNumberFormat="1" applyFont="1" applyBorder="1"/>
    <xf numFmtId="187" fontId="74" fillId="0" borderId="29" xfId="1" applyNumberFormat="1" applyFont="1" applyBorder="1"/>
    <xf numFmtId="9" fontId="74" fillId="0" borderId="29" xfId="0" applyNumberFormat="1" applyFont="1" applyBorder="1" applyAlignment="1">
      <alignment horizontal="right"/>
    </xf>
    <xf numFmtId="9" fontId="74" fillId="0" borderId="29" xfId="0" applyNumberFormat="1" applyFont="1" applyBorder="1"/>
    <xf numFmtId="171" fontId="43" fillId="0" borderId="29" xfId="0" applyNumberFormat="1" applyFont="1" applyBorder="1"/>
    <xf numFmtId="9" fontId="43" fillId="0" borderId="29" xfId="0" applyNumberFormat="1" applyFont="1" applyBorder="1"/>
    <xf numFmtId="171" fontId="72" fillId="48" borderId="29" xfId="0" applyNumberFormat="1" applyFont="1" applyFill="1" applyBorder="1"/>
    <xf numFmtId="9" fontId="72" fillId="48" borderId="29" xfId="0" applyNumberFormat="1" applyFont="1" applyFill="1" applyBorder="1"/>
    <xf numFmtId="9" fontId="75" fillId="48" borderId="29" xfId="2" applyFont="1" applyFill="1" applyBorder="1"/>
    <xf numFmtId="9" fontId="72" fillId="48" borderId="29" xfId="2" applyFont="1" applyFill="1" applyBorder="1" applyAlignment="1">
      <alignment horizontal="right"/>
    </xf>
    <xf numFmtId="0" fontId="72" fillId="48" borderId="29" xfId="0" applyFont="1" applyFill="1" applyBorder="1" applyAlignment="1">
      <alignment horizontal="center"/>
    </xf>
    <xf numFmtId="187" fontId="43" fillId="0" borderId="29" xfId="1" applyNumberFormat="1" applyFont="1" applyBorder="1" applyAlignment="1"/>
    <xf numFmtId="187" fontId="74" fillId="0" borderId="29" xfId="1" applyNumberFormat="1" applyFont="1" applyBorder="1" applyAlignment="1">
      <alignment horizontal="right"/>
    </xf>
    <xf numFmtId="187" fontId="43" fillId="0" borderId="29" xfId="1" applyNumberFormat="1" applyFont="1" applyBorder="1" applyAlignment="1">
      <alignment horizontal="right"/>
    </xf>
    <xf numFmtId="0" fontId="43" fillId="0" borderId="0" xfId="0" applyFont="1"/>
    <xf numFmtId="172" fontId="43" fillId="0" borderId="0" xfId="0" applyNumberFormat="1" applyFont="1"/>
    <xf numFmtId="171" fontId="43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right" vertical="center" wrapText="1"/>
    </xf>
    <xf numFmtId="0" fontId="72" fillId="0" borderId="2" xfId="0" applyFont="1" applyBorder="1" applyAlignment="1">
      <alignment horizontal="center"/>
    </xf>
    <xf numFmtId="187" fontId="73" fillId="0" borderId="29" xfId="1" applyNumberFormat="1" applyFont="1" applyFill="1" applyBorder="1" applyAlignment="1">
      <alignment horizontal="right"/>
    </xf>
    <xf numFmtId="187" fontId="43" fillId="0" borderId="2" xfId="1" applyNumberFormat="1" applyFont="1" applyFill="1" applyBorder="1" applyAlignment="1">
      <alignment horizontal="right"/>
    </xf>
    <xf numFmtId="0" fontId="43" fillId="0" borderId="2" xfId="0" applyFont="1" applyBorder="1" applyAlignment="1">
      <alignment horizontal="right"/>
    </xf>
    <xf numFmtId="0" fontId="76" fillId="0" borderId="0" xfId="0" applyFont="1"/>
    <xf numFmtId="0" fontId="72" fillId="48" borderId="29" xfId="0" applyFont="1" applyFill="1" applyBorder="1" applyAlignment="1">
      <alignment horizontal="right" vertical="center"/>
    </xf>
    <xf numFmtId="0" fontId="43" fillId="0" borderId="29" xfId="0" applyFont="1" applyBorder="1" applyAlignment="1">
      <alignment horizontal="left" vertical="center"/>
    </xf>
    <xf numFmtId="187" fontId="43" fillId="0" borderId="29" xfId="1" applyNumberFormat="1" applyFont="1" applyBorder="1" applyAlignment="1">
      <alignment horizontal="right" vertical="center"/>
    </xf>
    <xf numFmtId="187" fontId="74" fillId="0" borderId="29" xfId="1" applyNumberFormat="1" applyFont="1" applyBorder="1" applyAlignment="1">
      <alignment horizontal="right" vertical="center"/>
    </xf>
    <xf numFmtId="9" fontId="74" fillId="0" borderId="29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43" fillId="0" borderId="29" xfId="0" applyFont="1" applyBorder="1" applyAlignment="1">
      <alignment vertical="center"/>
    </xf>
    <xf numFmtId="171" fontId="43" fillId="0" borderId="29" xfId="0" applyNumberFormat="1" applyFont="1" applyBorder="1" applyAlignment="1">
      <alignment vertical="center"/>
    </xf>
    <xf numFmtId="171" fontId="73" fillId="0" borderId="29" xfId="0" applyNumberFormat="1" applyFont="1" applyBorder="1" applyAlignment="1">
      <alignment horizontal="right" vertical="center"/>
    </xf>
    <xf numFmtId="9" fontId="74" fillId="0" borderId="29" xfId="0" applyNumberFormat="1" applyFont="1" applyBorder="1" applyAlignment="1">
      <alignment vertical="center"/>
    </xf>
    <xf numFmtId="187" fontId="73" fillId="0" borderId="29" xfId="1" applyNumberFormat="1" applyFont="1" applyBorder="1" applyAlignment="1">
      <alignment horizontal="right" vertical="center"/>
    </xf>
    <xf numFmtId="9" fontId="73" fillId="0" borderId="29" xfId="0" applyNumberFormat="1" applyFont="1" applyBorder="1" applyAlignment="1">
      <alignment vertical="center"/>
    </xf>
    <xf numFmtId="0" fontId="77" fillId="48" borderId="29" xfId="0" applyFont="1" applyFill="1" applyBorder="1" applyAlignment="1">
      <alignment horizontal="right" vertical="center"/>
    </xf>
    <xf numFmtId="187" fontId="73" fillId="0" borderId="29" xfId="1" applyNumberFormat="1" applyFont="1" applyBorder="1" applyAlignment="1">
      <alignment horizontal="right"/>
    </xf>
    <xf numFmtId="165" fontId="43" fillId="0" borderId="0" xfId="0" applyNumberFormat="1" applyFont="1" applyAlignment="1">
      <alignment vertical="center" wrapText="1"/>
    </xf>
    <xf numFmtId="187" fontId="43" fillId="0" borderId="29" xfId="1" applyNumberFormat="1" applyFont="1" applyFill="1" applyBorder="1" applyAlignment="1">
      <alignment vertical="center"/>
    </xf>
    <xf numFmtId="0" fontId="78" fillId="19" borderId="0" xfId="0" applyFont="1" applyFill="1"/>
    <xf numFmtId="9" fontId="43" fillId="0" borderId="29" xfId="0" applyNumberFormat="1" applyFont="1" applyBorder="1" applyAlignment="1">
      <alignment horizontal="right"/>
    </xf>
    <xf numFmtId="171" fontId="43" fillId="0" borderId="29" xfId="0" applyNumberFormat="1" applyFont="1" applyBorder="1" applyAlignment="1">
      <alignment horizontal="right"/>
    </xf>
    <xf numFmtId="0" fontId="76" fillId="0" borderId="29" xfId="0" applyFont="1" applyBorder="1"/>
    <xf numFmtId="0" fontId="43" fillId="0" borderId="29" xfId="0" applyFont="1" applyBorder="1" applyAlignment="1">
      <alignment wrapText="1"/>
    </xf>
    <xf numFmtId="0" fontId="72" fillId="0" borderId="6" xfId="0" applyFont="1" applyBorder="1" applyAlignment="1">
      <alignment wrapText="1"/>
    </xf>
    <xf numFmtId="171" fontId="72" fillId="0" borderId="6" xfId="0" applyNumberFormat="1" applyFont="1" applyBorder="1"/>
    <xf numFmtId="0" fontId="76" fillId="19" borderId="0" xfId="0" applyFont="1" applyFill="1"/>
    <xf numFmtId="0" fontId="43" fillId="19" borderId="40" xfId="0" applyFont="1" applyFill="1" applyBorder="1"/>
    <xf numFmtId="171" fontId="43" fillId="0" borderId="1" xfId="0" applyNumberFormat="1" applyFont="1" applyBorder="1"/>
    <xf numFmtId="165" fontId="43" fillId="0" borderId="1" xfId="0" applyNumberFormat="1" applyFont="1" applyBorder="1"/>
    <xf numFmtId="0" fontId="43" fillId="0" borderId="1" xfId="0" applyFont="1" applyBorder="1" applyAlignment="1">
      <alignment wrapText="1"/>
    </xf>
    <xf numFmtId="0" fontId="77" fillId="0" borderId="6" xfId="3" applyFont="1" applyAlignment="1">
      <alignment horizontal="justify" vertical="center" wrapText="1"/>
    </xf>
    <xf numFmtId="14" fontId="77" fillId="0" borderId="6" xfId="3" applyNumberFormat="1" applyFont="1" applyAlignment="1">
      <alignment horizontal="center" vertical="center" wrapText="1"/>
    </xf>
    <xf numFmtId="0" fontId="73" fillId="0" borderId="6" xfId="3" applyFont="1" applyAlignment="1">
      <alignment vertical="center" wrapText="1"/>
    </xf>
    <xf numFmtId="164" fontId="73" fillId="0" borderId="6" xfId="3" applyNumberFormat="1" applyFont="1" applyAlignment="1">
      <alignment vertical="center" wrapText="1"/>
    </xf>
    <xf numFmtId="0" fontId="79" fillId="0" borderId="6" xfId="3" applyFont="1" applyAlignment="1">
      <alignment vertical="center" wrapText="1"/>
    </xf>
    <xf numFmtId="164" fontId="79" fillId="0" borderId="6" xfId="3" applyNumberFormat="1" applyFont="1" applyAlignment="1">
      <alignment vertical="center" wrapText="1"/>
    </xf>
    <xf numFmtId="164" fontId="73" fillId="0" borderId="6" xfId="3" applyNumberFormat="1" applyFont="1" applyAlignment="1">
      <alignment horizontal="right" vertical="center" wrapText="1"/>
    </xf>
    <xf numFmtId="0" fontId="80" fillId="19" borderId="6" xfId="0" applyFont="1" applyFill="1" applyBorder="1"/>
    <xf numFmtId="0" fontId="43" fillId="0" borderId="1" xfId="0" applyFont="1" applyBorder="1" applyAlignment="1">
      <alignment vertical="center" wrapText="1"/>
    </xf>
    <xf numFmtId="164" fontId="43" fillId="0" borderId="1" xfId="1" applyNumberFormat="1" applyFont="1" applyFill="1" applyBorder="1" applyAlignment="1">
      <alignment horizontal="right" wrapText="1"/>
    </xf>
    <xf numFmtId="164" fontId="43" fillId="0" borderId="29" xfId="1" applyNumberFormat="1" applyFont="1" applyBorder="1" applyAlignment="1">
      <alignment horizontal="right"/>
    </xf>
    <xf numFmtId="164" fontId="43" fillId="0" borderId="29" xfId="1" applyNumberFormat="1" applyFont="1" applyFill="1" applyBorder="1" applyAlignment="1">
      <alignment horizontal="right"/>
    </xf>
    <xf numFmtId="0" fontId="43" fillId="0" borderId="15" xfId="0" applyFont="1" applyBorder="1" applyAlignment="1">
      <alignment vertical="center" wrapText="1"/>
    </xf>
    <xf numFmtId="164" fontId="43" fillId="0" borderId="29" xfId="1" applyNumberFormat="1" applyFont="1" applyFill="1" applyBorder="1" applyAlignment="1">
      <alignment horizontal="right" wrapText="1"/>
    </xf>
    <xf numFmtId="0" fontId="73" fillId="0" borderId="6" xfId="3" applyFont="1" applyAlignment="1">
      <alignment horizontal="justify" vertical="center" wrapText="1"/>
    </xf>
    <xf numFmtId="0" fontId="43" fillId="0" borderId="56" xfId="0" applyFont="1" applyBorder="1" applyAlignment="1">
      <alignment vertical="center" wrapText="1"/>
    </xf>
    <xf numFmtId="164" fontId="43" fillId="0" borderId="35" xfId="1" applyNumberFormat="1" applyFont="1" applyFill="1" applyBorder="1" applyAlignment="1">
      <alignment horizontal="right" wrapText="1"/>
    </xf>
    <xf numFmtId="164" fontId="76" fillId="0" borderId="35" xfId="1" applyNumberFormat="1" applyFont="1" applyFill="1" applyBorder="1" applyAlignment="1">
      <alignment horizontal="right"/>
    </xf>
    <xf numFmtId="0" fontId="43" fillId="0" borderId="29" xfId="0" applyFont="1" applyBorder="1" applyAlignment="1">
      <alignment vertical="center" wrapText="1"/>
    </xf>
    <xf numFmtId="0" fontId="43" fillId="0" borderId="40" xfId="0" applyFont="1" applyBorder="1" applyAlignment="1">
      <alignment vertical="center" wrapText="1"/>
    </xf>
    <xf numFmtId="164" fontId="43" fillId="0" borderId="40" xfId="1" applyNumberFormat="1" applyFont="1" applyFill="1" applyBorder="1" applyAlignment="1">
      <alignment horizontal="right" wrapText="1"/>
    </xf>
    <xf numFmtId="164" fontId="43" fillId="0" borderId="40" xfId="1" applyNumberFormat="1" applyFont="1" applyFill="1" applyBorder="1" applyAlignment="1">
      <alignment horizontal="right"/>
    </xf>
    <xf numFmtId="0" fontId="43" fillId="0" borderId="6" xfId="0" applyFont="1" applyBorder="1" applyAlignment="1">
      <alignment vertical="center" wrapText="1"/>
    </xf>
    <xf numFmtId="164" fontId="43" fillId="0" borderId="6" xfId="1" applyNumberFormat="1" applyFont="1" applyFill="1" applyBorder="1"/>
    <xf numFmtId="164" fontId="43" fillId="0" borderId="6" xfId="1" applyNumberFormat="1" applyFont="1" applyFill="1" applyBorder="1" applyAlignment="1"/>
    <xf numFmtId="0" fontId="43" fillId="14" borderId="29" xfId="0" applyFont="1" applyFill="1" applyBorder="1" applyAlignment="1">
      <alignment vertical="center" wrapText="1"/>
    </xf>
    <xf numFmtId="164" fontId="43" fillId="14" borderId="29" xfId="1" applyNumberFormat="1" applyFont="1" applyFill="1" applyBorder="1" applyAlignment="1">
      <alignment horizontal="right" wrapText="1"/>
    </xf>
    <xf numFmtId="164" fontId="43" fillId="14" borderId="29" xfId="1" applyNumberFormat="1" applyFont="1" applyFill="1" applyBorder="1" applyAlignment="1">
      <alignment horizontal="right"/>
    </xf>
    <xf numFmtId="0" fontId="76" fillId="0" borderId="6" xfId="0" applyFont="1" applyBorder="1"/>
    <xf numFmtId="0" fontId="72" fillId="48" borderId="3" xfId="0" applyFont="1" applyFill="1" applyBorder="1"/>
    <xf numFmtId="172" fontId="72" fillId="48" borderId="3" xfId="0" applyNumberFormat="1" applyFont="1" applyFill="1" applyBorder="1"/>
    <xf numFmtId="0" fontId="72" fillId="48" borderId="29" xfId="0" applyFont="1" applyFill="1" applyBorder="1" applyAlignment="1">
      <alignment wrapText="1"/>
    </xf>
    <xf numFmtId="172" fontId="72" fillId="48" borderId="29" xfId="0" applyNumberFormat="1" applyFont="1" applyFill="1" applyBorder="1"/>
    <xf numFmtId="173" fontId="72" fillId="48" borderId="29" xfId="0" applyNumberFormat="1" applyFont="1" applyFill="1" applyBorder="1"/>
    <xf numFmtId="0" fontId="72" fillId="48" borderId="1" xfId="0" applyFont="1" applyFill="1" applyBorder="1"/>
    <xf numFmtId="0" fontId="72" fillId="48" borderId="1" xfId="0" applyFont="1" applyFill="1" applyBorder="1" applyAlignment="1">
      <alignment horizontal="center"/>
    </xf>
    <xf numFmtId="0" fontId="72" fillId="49" borderId="1" xfId="0" applyFont="1" applyFill="1" applyBorder="1" applyAlignment="1">
      <alignment horizontal="center"/>
    </xf>
    <xf numFmtId="171" fontId="72" fillId="48" borderId="1" xfId="0" applyNumberFormat="1" applyFont="1" applyFill="1" applyBorder="1" applyAlignment="1">
      <alignment horizontal="right"/>
    </xf>
    <xf numFmtId="164" fontId="72" fillId="48" borderId="29" xfId="1" applyNumberFormat="1" applyFont="1" applyFill="1" applyBorder="1"/>
    <xf numFmtId="171" fontId="72" fillId="48" borderId="1" xfId="0" applyNumberFormat="1" applyFont="1" applyFill="1" applyBorder="1" applyAlignment="1">
      <alignment horizontal="right" vertical="center" wrapText="1"/>
    </xf>
    <xf numFmtId="171" fontId="77" fillId="0" borderId="6" xfId="3" applyNumberFormat="1" applyFont="1" applyAlignment="1">
      <alignment horizontal="center" vertical="center" wrapText="1"/>
    </xf>
    <xf numFmtId="171" fontId="76" fillId="0" borderId="0" xfId="0" applyNumberFormat="1" applyFont="1"/>
    <xf numFmtId="0" fontId="64" fillId="0" borderId="43" xfId="0" applyFont="1" applyBorder="1" applyAlignment="1">
      <alignment horizontal="center" vertical="center" wrapText="1"/>
    </xf>
    <xf numFmtId="164" fontId="65" fillId="0" borderId="43" xfId="0" applyNumberFormat="1" applyFont="1" applyBorder="1" applyAlignment="1">
      <alignment horizontal="right" vertical="center"/>
    </xf>
    <xf numFmtId="164" fontId="65" fillId="0" borderId="53" xfId="0" applyNumberFormat="1" applyFont="1" applyBorder="1" applyAlignment="1">
      <alignment horizontal="right" vertical="center"/>
    </xf>
    <xf numFmtId="164" fontId="64" fillId="0" borderId="33" xfId="0" applyNumberFormat="1" applyFont="1" applyBorder="1" applyAlignment="1">
      <alignment horizontal="right" vertical="center"/>
    </xf>
    <xf numFmtId="0" fontId="65" fillId="0" borderId="43" xfId="0" applyFont="1" applyBorder="1" applyAlignment="1">
      <alignment horizontal="right" vertical="center"/>
    </xf>
    <xf numFmtId="0" fontId="65" fillId="0" borderId="53" xfId="0" applyFont="1" applyBorder="1" applyAlignment="1">
      <alignment horizontal="right" vertical="center"/>
    </xf>
    <xf numFmtId="0" fontId="64" fillId="0" borderId="33" xfId="0" applyFont="1" applyBorder="1" applyAlignment="1">
      <alignment horizontal="right" vertical="center"/>
    </xf>
    <xf numFmtId="164" fontId="65" fillId="0" borderId="41" xfId="0" applyNumberFormat="1" applyFont="1" applyBorder="1" applyAlignment="1">
      <alignment horizontal="right" vertical="center"/>
    </xf>
    <xf numFmtId="0" fontId="65" fillId="0" borderId="33" xfId="0" applyFont="1" applyBorder="1" applyAlignment="1">
      <alignment horizontal="right" vertical="center"/>
    </xf>
    <xf numFmtId="164" fontId="65" fillId="0" borderId="42" xfId="0" applyNumberFormat="1" applyFont="1" applyBorder="1" applyAlignment="1">
      <alignment horizontal="right" vertical="center"/>
    </xf>
    <xf numFmtId="0" fontId="0" fillId="0" borderId="41" xfId="0" applyBorder="1"/>
    <xf numFmtId="0" fontId="0" fillId="0" borderId="31" xfId="0" applyBorder="1"/>
    <xf numFmtId="0" fontId="64" fillId="0" borderId="54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 wrapText="1"/>
    </xf>
    <xf numFmtId="0" fontId="65" fillId="0" borderId="42" xfId="0" applyFont="1" applyBorder="1" applyAlignment="1">
      <alignment vertical="center"/>
    </xf>
    <xf numFmtId="0" fontId="65" fillId="0" borderId="55" xfId="0" applyFont="1" applyBorder="1" applyAlignment="1">
      <alignment vertical="center"/>
    </xf>
    <xf numFmtId="0" fontId="64" fillId="0" borderId="31" xfId="0" applyFont="1" applyBorder="1" applyAlignment="1">
      <alignment vertical="center"/>
    </xf>
    <xf numFmtId="164" fontId="64" fillId="0" borderId="41" xfId="0" applyNumberFormat="1" applyFont="1" applyBorder="1" applyAlignment="1">
      <alignment horizontal="right" vertical="center"/>
    </xf>
    <xf numFmtId="0" fontId="65" fillId="0" borderId="54" xfId="0" applyFont="1" applyBorder="1" applyAlignment="1">
      <alignment vertical="center"/>
    </xf>
    <xf numFmtId="0" fontId="65" fillId="0" borderId="41" xfId="0" applyFont="1" applyBorder="1" applyAlignment="1">
      <alignment vertical="center"/>
    </xf>
    <xf numFmtId="164" fontId="65" fillId="0" borderId="33" xfId="0" applyNumberFormat="1" applyFont="1" applyBorder="1" applyAlignment="1">
      <alignment horizontal="right" vertical="center"/>
    </xf>
    <xf numFmtId="0" fontId="64" fillId="49" borderId="54" xfId="0" applyFont="1" applyFill="1" applyBorder="1" applyAlignment="1">
      <alignment vertical="center"/>
    </xf>
    <xf numFmtId="164" fontId="64" fillId="49" borderId="42" xfId="0" applyNumberFormat="1" applyFont="1" applyFill="1" applyBorder="1" applyAlignment="1">
      <alignment horizontal="right" vertical="center"/>
    </xf>
    <xf numFmtId="164" fontId="64" fillId="49" borderId="43" xfId="0" applyNumberFormat="1" applyFont="1" applyFill="1" applyBorder="1" applyAlignment="1">
      <alignment horizontal="right" vertical="center"/>
    </xf>
    <xf numFmtId="0" fontId="12" fillId="0" borderId="42" xfId="0" applyFont="1" applyBorder="1" applyAlignment="1">
      <alignment vertical="center" wrapText="1"/>
    </xf>
    <xf numFmtId="164" fontId="12" fillId="0" borderId="43" xfId="0" applyNumberFormat="1" applyFont="1" applyBorder="1" applyAlignment="1">
      <alignment horizontal="right" vertical="center" wrapText="1"/>
    </xf>
    <xf numFmtId="0" fontId="63" fillId="49" borderId="41" xfId="0" applyFont="1" applyFill="1" applyBorder="1" applyAlignment="1">
      <alignment vertical="center" wrapText="1"/>
    </xf>
    <xf numFmtId="164" fontId="63" fillId="49" borderId="33" xfId="0" applyNumberFormat="1" applyFont="1" applyFill="1" applyBorder="1" applyAlignment="1">
      <alignment vertical="center" wrapText="1"/>
    </xf>
    <xf numFmtId="0" fontId="63" fillId="49" borderId="42" xfId="0" applyFont="1" applyFill="1" applyBorder="1" applyAlignment="1">
      <alignment vertical="center" wrapText="1"/>
    </xf>
    <xf numFmtId="164" fontId="63" fillId="49" borderId="43" xfId="0" applyNumberFormat="1" applyFont="1" applyFill="1" applyBorder="1" applyAlignment="1">
      <alignment horizontal="right" vertical="center" wrapText="1"/>
    </xf>
    <xf numFmtId="0" fontId="81" fillId="0" borderId="0" xfId="0" applyFont="1"/>
    <xf numFmtId="178" fontId="63" fillId="49" borderId="33" xfId="0" applyNumberFormat="1" applyFont="1" applyFill="1" applyBorder="1" applyAlignment="1">
      <alignment horizontal="right" vertical="center"/>
    </xf>
    <xf numFmtId="178" fontId="63" fillId="49" borderId="43" xfId="0" applyNumberFormat="1" applyFont="1" applyFill="1" applyBorder="1" applyAlignment="1">
      <alignment horizontal="right" vertical="center"/>
    </xf>
    <xf numFmtId="178" fontId="63" fillId="49" borderId="41" xfId="0" applyNumberFormat="1" applyFont="1" applyFill="1" applyBorder="1" applyAlignment="1">
      <alignment horizontal="right" vertical="center"/>
    </xf>
    <xf numFmtId="178" fontId="55" fillId="49" borderId="29" xfId="0" applyNumberFormat="1" applyFont="1" applyFill="1" applyBorder="1" applyAlignment="1">
      <alignment vertical="center"/>
    </xf>
    <xf numFmtId="178" fontId="25" fillId="0" borderId="67" xfId="0" applyNumberFormat="1" applyFont="1" applyBorder="1" applyAlignment="1">
      <alignment vertical="center"/>
    </xf>
    <xf numFmtId="178" fontId="52" fillId="0" borderId="29" xfId="0" applyNumberFormat="1" applyFont="1" applyBorder="1" applyAlignment="1">
      <alignment vertical="center"/>
    </xf>
    <xf numFmtId="170" fontId="14" fillId="0" borderId="9" xfId="0" applyNumberFormat="1" applyFont="1" applyBorder="1"/>
    <xf numFmtId="0" fontId="18" fillId="49" borderId="1" xfId="0" applyFont="1" applyFill="1" applyBorder="1"/>
    <xf numFmtId="0" fontId="20" fillId="49" borderId="1" xfId="0" applyFont="1" applyFill="1" applyBorder="1"/>
    <xf numFmtId="0" fontId="66" fillId="49" borderId="29" xfId="12" applyFont="1" applyFill="1" applyBorder="1" applyAlignment="1">
      <alignment wrapText="1"/>
    </xf>
    <xf numFmtId="9" fontId="66" fillId="49" borderId="29" xfId="12" applyNumberFormat="1" applyFont="1" applyFill="1" applyBorder="1"/>
    <xf numFmtId="0" fontId="66" fillId="49" borderId="29" xfId="12" applyFont="1" applyFill="1" applyBorder="1"/>
    <xf numFmtId="0" fontId="67" fillId="0" borderId="29" xfId="12" applyFont="1" applyBorder="1" applyAlignment="1">
      <alignment horizontal="center" vertical="center" wrapText="1"/>
    </xf>
    <xf numFmtId="0" fontId="67" fillId="0" borderId="29" xfId="12" applyFont="1" applyBorder="1" applyAlignment="1">
      <alignment vertical="center" wrapText="1"/>
    </xf>
    <xf numFmtId="9" fontId="67" fillId="0" borderId="29" xfId="2" applyFont="1" applyBorder="1"/>
    <xf numFmtId="9" fontId="77" fillId="48" borderId="29" xfId="0" applyNumberFormat="1" applyFont="1" applyFill="1" applyBorder="1"/>
    <xf numFmtId="0" fontId="72" fillId="48" borderId="3" xfId="0" applyFont="1" applyFill="1" applyBorder="1" applyAlignment="1">
      <alignment wrapText="1"/>
    </xf>
    <xf numFmtId="166" fontId="45" fillId="49" borderId="29" xfId="4" applyFont="1" applyFill="1" applyBorder="1"/>
    <xf numFmtId="0" fontId="44" fillId="49" borderId="1" xfId="0" applyFont="1" applyFill="1" applyBorder="1"/>
    <xf numFmtId="167" fontId="44" fillId="49" borderId="1" xfId="0" applyNumberFormat="1" applyFont="1" applyFill="1" applyBorder="1" applyAlignment="1">
      <alignment horizontal="right"/>
    </xf>
    <xf numFmtId="179" fontId="44" fillId="49" borderId="1" xfId="0" applyNumberFormat="1" applyFont="1" applyFill="1" applyBorder="1" applyAlignment="1">
      <alignment horizontal="right"/>
    </xf>
    <xf numFmtId="166" fontId="45" fillId="49" borderId="29" xfId="4" applyFont="1" applyFill="1" applyBorder="1" applyAlignment="1">
      <alignment horizontal="left" vertical="center"/>
    </xf>
    <xf numFmtId="0" fontId="72" fillId="49" borderId="29" xfId="0" applyFont="1" applyFill="1" applyBorder="1"/>
    <xf numFmtId="0" fontId="82" fillId="49" borderId="29" xfId="0" applyFont="1" applyFill="1" applyBorder="1"/>
    <xf numFmtId="0" fontId="82" fillId="49" borderId="29" xfId="0" applyFont="1" applyFill="1" applyBorder="1" applyAlignment="1">
      <alignment vertical="center"/>
    </xf>
    <xf numFmtId="7" fontId="67" fillId="0" borderId="29" xfId="1" applyNumberFormat="1" applyFont="1" applyBorder="1"/>
    <xf numFmtId="7" fontId="66" fillId="49" borderId="29" xfId="13" applyNumberFormat="1" applyFont="1" applyFill="1" applyBorder="1"/>
    <xf numFmtId="0" fontId="13" fillId="14" borderId="0" xfId="0" applyFont="1" applyFill="1"/>
    <xf numFmtId="174" fontId="20" fillId="14" borderId="1" xfId="0" applyNumberFormat="1" applyFont="1" applyFill="1" applyBorder="1"/>
    <xf numFmtId="164" fontId="14" fillId="14" borderId="1" xfId="0" applyNumberFormat="1" applyFont="1" applyFill="1" applyBorder="1"/>
    <xf numFmtId="178" fontId="83" fillId="0" borderId="43" xfId="0" applyNumberFormat="1" applyFont="1" applyBorder="1" applyAlignment="1">
      <alignment horizontal="right" vertical="center"/>
    </xf>
    <xf numFmtId="179" fontId="20" fillId="52" borderId="29" xfId="0" applyNumberFormat="1" applyFont="1" applyFill="1" applyBorder="1"/>
    <xf numFmtId="179" fontId="14" fillId="52" borderId="29" xfId="0" applyNumberFormat="1" applyFont="1" applyFill="1" applyBorder="1"/>
    <xf numFmtId="0" fontId="20" fillId="52" borderId="29" xfId="0" applyFont="1" applyFill="1" applyBorder="1"/>
    <xf numFmtId="0" fontId="14" fillId="52" borderId="29" xfId="0" applyFont="1" applyFill="1" applyBorder="1"/>
    <xf numFmtId="178" fontId="84" fillId="0" borderId="4" xfId="0" applyNumberFormat="1" applyFont="1" applyBorder="1" applyAlignment="1">
      <alignment horizontal="right" vertical="center" wrapText="1"/>
    </xf>
    <xf numFmtId="178" fontId="84" fillId="0" borderId="12" xfId="0" applyNumberFormat="1" applyFont="1" applyBorder="1" applyAlignment="1">
      <alignment horizontal="right" vertical="center" wrapText="1"/>
    </xf>
    <xf numFmtId="178" fontId="85" fillId="0" borderId="12" xfId="0" applyNumberFormat="1" applyFont="1" applyBorder="1" applyAlignment="1">
      <alignment horizontal="right" vertical="center" wrapText="1"/>
    </xf>
    <xf numFmtId="178" fontId="84" fillId="0" borderId="13" xfId="0" applyNumberFormat="1" applyFont="1" applyBorder="1" applyAlignment="1">
      <alignment horizontal="right" vertical="center" wrapText="1"/>
    </xf>
    <xf numFmtId="178" fontId="84" fillId="0" borderId="14" xfId="0" applyNumberFormat="1" applyFont="1" applyBorder="1" applyAlignment="1">
      <alignment horizontal="right" vertical="center" wrapText="1"/>
    </xf>
    <xf numFmtId="178" fontId="85" fillId="0" borderId="14" xfId="0" applyNumberFormat="1" applyFont="1" applyBorder="1" applyAlignment="1">
      <alignment horizontal="right" vertical="center" wrapText="1"/>
    </xf>
    <xf numFmtId="44" fontId="65" fillId="0" borderId="6" xfId="3" applyNumberFormat="1" applyFont="1"/>
    <xf numFmtId="0" fontId="65" fillId="50" borderId="29" xfId="3" applyFont="1" applyFill="1" applyBorder="1"/>
    <xf numFmtId="185" fontId="65" fillId="50" borderId="29" xfId="3" applyNumberFormat="1" applyFont="1" applyFill="1" applyBorder="1"/>
    <xf numFmtId="185" fontId="65" fillId="0" borderId="29" xfId="3" applyNumberFormat="1" applyFont="1" applyBorder="1"/>
    <xf numFmtId="185" fontId="65" fillId="19" borderId="29" xfId="3" applyNumberFormat="1" applyFont="1" applyFill="1" applyBorder="1"/>
    <xf numFmtId="185" fontId="65" fillId="44" borderId="29" xfId="3" applyNumberFormat="1" applyFont="1" applyFill="1" applyBorder="1"/>
    <xf numFmtId="185" fontId="65" fillId="53" borderId="29" xfId="3" applyNumberFormat="1" applyFont="1" applyFill="1" applyBorder="1"/>
    <xf numFmtId="0" fontId="65" fillId="0" borderId="29" xfId="3" applyFont="1" applyBorder="1" applyAlignment="1">
      <alignment wrapText="1"/>
    </xf>
    <xf numFmtId="166" fontId="65" fillId="19" borderId="29" xfId="3" applyNumberFormat="1" applyFont="1" applyFill="1" applyBorder="1"/>
    <xf numFmtId="0" fontId="65" fillId="22" borderId="29" xfId="3" applyFont="1" applyFill="1" applyBorder="1"/>
    <xf numFmtId="166" fontId="65" fillId="50" borderId="29" xfId="1" applyFont="1" applyFill="1" applyBorder="1"/>
    <xf numFmtId="166" fontId="64" fillId="0" borderId="29" xfId="3" applyNumberFormat="1" applyFont="1" applyBorder="1"/>
    <xf numFmtId="49" fontId="46" fillId="47" borderId="36" xfId="16" applyNumberFormat="1" applyFont="1" applyFill="1" applyBorder="1" applyAlignment="1">
      <alignment horizontal="center"/>
    </xf>
    <xf numFmtId="49" fontId="46" fillId="47" borderId="37" xfId="16" applyNumberFormat="1" applyFont="1" applyFill="1" applyBorder="1" applyAlignment="1">
      <alignment horizontal="center"/>
    </xf>
    <xf numFmtId="49" fontId="46" fillId="47" borderId="38" xfId="16" applyNumberFormat="1" applyFont="1" applyFill="1" applyBorder="1" applyAlignment="1">
      <alignment horizontal="center"/>
    </xf>
    <xf numFmtId="0" fontId="66" fillId="49" borderId="29" xfId="12" applyFont="1" applyFill="1" applyBorder="1" applyAlignment="1">
      <alignment horizontal="center" wrapText="1"/>
    </xf>
    <xf numFmtId="0" fontId="63" fillId="49" borderId="36" xfId="0" applyFont="1" applyFill="1" applyBorder="1" applyAlignment="1">
      <alignment horizontal="center" vertical="center" wrapText="1"/>
    </xf>
    <xf numFmtId="0" fontId="63" fillId="49" borderId="37" xfId="0" applyFont="1" applyFill="1" applyBorder="1" applyAlignment="1">
      <alignment horizontal="center" vertical="center" wrapText="1"/>
    </xf>
    <xf numFmtId="0" fontId="63" fillId="49" borderId="38" xfId="0" applyFont="1" applyFill="1" applyBorder="1" applyAlignment="1">
      <alignment horizontal="center" vertical="center" wrapText="1"/>
    </xf>
    <xf numFmtId="0" fontId="63" fillId="49" borderId="29" xfId="12" applyFont="1" applyFill="1" applyBorder="1" applyAlignment="1">
      <alignment horizontal="center" vertical="center"/>
    </xf>
    <xf numFmtId="0" fontId="64" fillId="49" borderId="31" xfId="0" applyFont="1" applyFill="1" applyBorder="1" applyAlignment="1">
      <alignment horizontal="center" vertical="center"/>
    </xf>
    <xf numFmtId="0" fontId="64" fillId="49" borderId="32" xfId="0" applyFont="1" applyFill="1" applyBorder="1" applyAlignment="1">
      <alignment horizontal="center" vertical="center"/>
    </xf>
    <xf numFmtId="0" fontId="64" fillId="49" borderId="33" xfId="0" applyFont="1" applyFill="1" applyBorder="1" applyAlignment="1">
      <alignment horizontal="center" vertical="center"/>
    </xf>
    <xf numFmtId="0" fontId="59" fillId="0" borderId="45" xfId="0" applyFont="1" applyBorder="1" applyAlignment="1">
      <alignment horizontal="center" vertical="center" wrapText="1"/>
    </xf>
    <xf numFmtId="0" fontId="59" fillId="0" borderId="48" xfId="0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 wrapText="1"/>
    </xf>
    <xf numFmtId="0" fontId="57" fillId="19" borderId="29" xfId="0" applyFont="1" applyFill="1" applyBorder="1" applyAlignment="1">
      <alignment horizontal="left" vertical="center"/>
    </xf>
    <xf numFmtId="186" fontId="57" fillId="19" borderId="29" xfId="0" applyNumberFormat="1" applyFont="1" applyFill="1" applyBorder="1" applyAlignment="1">
      <alignment horizontal="center" vertical="center"/>
    </xf>
    <xf numFmtId="0" fontId="46" fillId="19" borderId="0" xfId="0" applyFont="1" applyFill="1" applyAlignment="1">
      <alignment horizontal="center"/>
    </xf>
    <xf numFmtId="0" fontId="57" fillId="19" borderId="0" xfId="0" applyFont="1" applyFill="1"/>
    <xf numFmtId="0" fontId="59" fillId="0" borderId="31" xfId="0" applyFont="1" applyBorder="1" applyAlignment="1">
      <alignment horizontal="center"/>
    </xf>
    <xf numFmtId="0" fontId="59" fillId="0" borderId="32" xfId="0" applyFont="1" applyBorder="1" applyAlignment="1">
      <alignment horizontal="center"/>
    </xf>
    <xf numFmtId="0" fontId="59" fillId="0" borderId="33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16" fillId="0" borderId="17" xfId="0" applyFont="1" applyBorder="1"/>
    <xf numFmtId="0" fontId="16" fillId="0" borderId="9" xfId="0" applyFont="1" applyBorder="1"/>
    <xf numFmtId="0" fontId="18" fillId="22" borderId="11" xfId="0" applyFont="1" applyFill="1" applyBorder="1" applyAlignment="1">
      <alignment horizontal="center"/>
    </xf>
    <xf numFmtId="0" fontId="16" fillId="22" borderId="5" xfId="0" applyFont="1" applyFill="1" applyBorder="1"/>
    <xf numFmtId="0" fontId="20" fillId="22" borderId="11" xfId="0" applyFont="1" applyFill="1" applyBorder="1" applyAlignment="1">
      <alignment horizontal="center" vertical="center"/>
    </xf>
    <xf numFmtId="0" fontId="16" fillId="22" borderId="27" xfId="0" applyFont="1" applyFill="1" applyBorder="1"/>
    <xf numFmtId="0" fontId="18" fillId="19" borderId="11" xfId="0" applyFont="1" applyFill="1" applyBorder="1" applyAlignment="1">
      <alignment horizontal="center"/>
    </xf>
    <xf numFmtId="0" fontId="16" fillId="19" borderId="5" xfId="0" applyFont="1" applyFill="1" applyBorder="1"/>
    <xf numFmtId="0" fontId="20" fillId="19" borderId="11" xfId="0" applyFont="1" applyFill="1" applyBorder="1" applyAlignment="1">
      <alignment horizontal="center" vertical="center"/>
    </xf>
    <xf numFmtId="0" fontId="16" fillId="19" borderId="27" xfId="0" applyFont="1" applyFill="1" applyBorder="1"/>
    <xf numFmtId="0" fontId="20" fillId="22" borderId="11" xfId="0" applyFont="1" applyFill="1" applyBorder="1" applyAlignment="1">
      <alignment horizontal="center"/>
    </xf>
    <xf numFmtId="0" fontId="20" fillId="22" borderId="31" xfId="0" applyFont="1" applyFill="1" applyBorder="1" applyAlignment="1">
      <alignment horizontal="center" vertical="center"/>
    </xf>
    <xf numFmtId="0" fontId="20" fillId="22" borderId="32" xfId="0" applyFont="1" applyFill="1" applyBorder="1" applyAlignment="1">
      <alignment horizontal="center" vertical="center"/>
    </xf>
    <xf numFmtId="0" fontId="20" fillId="22" borderId="33" xfId="0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/>
    </xf>
    <xf numFmtId="0" fontId="16" fillId="23" borderId="5" xfId="0" applyFont="1" applyFill="1" applyBorder="1"/>
    <xf numFmtId="0" fontId="20" fillId="23" borderId="31" xfId="0" applyFont="1" applyFill="1" applyBorder="1" applyAlignment="1">
      <alignment horizontal="center" vertical="center"/>
    </xf>
    <xf numFmtId="0" fontId="16" fillId="23" borderId="32" xfId="0" applyFont="1" applyFill="1" applyBorder="1"/>
    <xf numFmtId="0" fontId="16" fillId="23" borderId="33" xfId="0" applyFont="1" applyFill="1" applyBorder="1"/>
    <xf numFmtId="0" fontId="20" fillId="15" borderId="11" xfId="0" applyFont="1" applyFill="1" applyBorder="1" applyAlignment="1">
      <alignment horizontal="center"/>
    </xf>
    <xf numFmtId="0" fontId="16" fillId="15" borderId="5" xfId="0" applyFont="1" applyFill="1" applyBorder="1"/>
    <xf numFmtId="0" fontId="20" fillId="15" borderId="11" xfId="0" applyFont="1" applyFill="1" applyBorder="1" applyAlignment="1">
      <alignment horizontal="center" vertical="center"/>
    </xf>
    <xf numFmtId="0" fontId="16" fillId="15" borderId="27" xfId="0" applyFont="1" applyFill="1" applyBorder="1"/>
    <xf numFmtId="0" fontId="16" fillId="22" borderId="32" xfId="0" applyFont="1" applyFill="1" applyBorder="1"/>
    <xf numFmtId="0" fontId="16" fillId="22" borderId="33" xfId="0" applyFont="1" applyFill="1" applyBorder="1"/>
    <xf numFmtId="0" fontId="20" fillId="19" borderId="31" xfId="0" applyFont="1" applyFill="1" applyBorder="1" applyAlignment="1">
      <alignment horizontal="center" vertical="center"/>
    </xf>
    <xf numFmtId="0" fontId="20" fillId="19" borderId="32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20" fillId="23" borderId="11" xfId="0" applyFont="1" applyFill="1" applyBorder="1" applyAlignment="1">
      <alignment horizontal="center" vertical="center"/>
    </xf>
    <xf numFmtId="0" fontId="16" fillId="23" borderId="27" xfId="0" applyFont="1" applyFill="1" applyBorder="1"/>
    <xf numFmtId="179" fontId="14" fillId="19" borderId="29" xfId="0" applyNumberFormat="1" applyFont="1" applyFill="1" applyBorder="1"/>
    <xf numFmtId="179" fontId="13" fillId="19" borderId="29" xfId="0" applyNumberFormat="1" applyFont="1" applyFill="1" applyBorder="1"/>
    <xf numFmtId="179" fontId="52" fillId="19" borderId="29" xfId="0" applyNumberFormat="1" applyFont="1" applyFill="1" applyBorder="1"/>
    <xf numFmtId="179" fontId="20" fillId="19" borderId="29" xfId="0" applyNumberFormat="1" applyFont="1" applyFill="1" applyBorder="1"/>
    <xf numFmtId="179" fontId="17" fillId="19" borderId="29" xfId="0" applyNumberFormat="1" applyFont="1" applyFill="1" applyBorder="1"/>
  </cellXfs>
  <cellStyles count="20">
    <cellStyle name="Normale" xfId="0" builtinId="0"/>
    <cellStyle name="Normale 2" xfId="3" xr:uid="{00000000-0005-0000-0000-000001000000}"/>
    <cellStyle name="Normale 3" xfId="6" xr:uid="{00000000-0005-0000-0000-000002000000}"/>
    <cellStyle name="Normale 4" xfId="8" xr:uid="{00000000-0005-0000-0000-000003000000}"/>
    <cellStyle name="Normale 5" xfId="12" xr:uid="{00000000-0005-0000-0000-000004000000}"/>
    <cellStyle name="Normale 6" xfId="14" xr:uid="{00000000-0005-0000-0000-000005000000}"/>
    <cellStyle name="Normale 7" xfId="17" xr:uid="{00000000-0005-0000-0000-000006000000}"/>
    <cellStyle name="Percentuale" xfId="2" builtinId="5"/>
    <cellStyle name="Percentuale 2" xfId="7" xr:uid="{00000000-0005-0000-0000-000008000000}"/>
    <cellStyle name="Percentuale 3" xfId="10" xr:uid="{00000000-0005-0000-0000-000009000000}"/>
    <cellStyle name="TableStyleLight1" xfId="11" xr:uid="{00000000-0005-0000-0000-00000A000000}"/>
    <cellStyle name="Valuta" xfId="1" builtinId="4"/>
    <cellStyle name="Valuta 2" xfId="4" xr:uid="{00000000-0005-0000-0000-00000C000000}"/>
    <cellStyle name="Valuta 2 2" xfId="16" xr:uid="{00000000-0005-0000-0000-00000D000000}"/>
    <cellStyle name="Valuta 2 3" xfId="19" xr:uid="{D2A8BDCF-F1BD-BA42-A913-3C0F0689D17A}"/>
    <cellStyle name="Valuta 3" xfId="5" xr:uid="{00000000-0005-0000-0000-00000E000000}"/>
    <cellStyle name="Valuta 4" xfId="9" xr:uid="{00000000-0005-0000-0000-00000F000000}"/>
    <cellStyle name="Valuta 5" xfId="13" xr:uid="{00000000-0005-0000-0000-000010000000}"/>
    <cellStyle name="Valuta 6" xfId="15" xr:uid="{00000000-0005-0000-0000-000011000000}"/>
    <cellStyle name="Valuta 7" xfId="18" xr:uid="{00000000-0005-0000-0000-000012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99"/>
      <color rgb="FFFF99CC"/>
      <color rgb="FFFF99FF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mministrazione/MONITORAGGIO_PROGETTI/2023/MONITORAGGIO_2023-CATE.xlsx" TargetMode="External"/><Relationship Id="rId1" Type="http://schemas.openxmlformats.org/officeDocument/2006/relationships/externalLinkPath" Target="/Volumes/amministrazione/MONITORAGGIO_PROGETTI/2023/MONITORAGGIO_2023-C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I"/>
      <sheetName val="Totale per consuntivo"/>
      <sheetName val="totale"/>
      <sheetName val="1_AUTOSTRADE"/>
      <sheetName val="2_DRT_11774-23_ANTINCENDIO"/>
      <sheetName val="3_DRT-11954-23-CARTAFORESTALE"/>
      <sheetName val="4_WBGIS-CB3"/>
      <sheetName val="5_DRT_6154-23_UMBRIA"/>
      <sheetName val="6_SINAPSI"/>
      <sheetName val="7_DRT_9869-22-TERRITORIO"/>
      <sheetName val="8_SCORE"/>
      <sheetName val="9_DRT_5995-23_AGROMETEO"/>
      <sheetName val="10_DAGRI-UNIFI"/>
      <sheetName val="11_INAF-STARMET"/>
      <sheetName val="12_DRT_8472-23_VIA"/>
      <sheetName val="13_CETENA"/>
      <sheetName val="14_NEXT-GEO"/>
      <sheetName val="15_2F-VADOLIGURE"/>
      <sheetName val="16_SINTETIC"/>
      <sheetName val="17_ACQUACENTRO"/>
      <sheetName val="18_WORKLIMATE-2"/>
      <sheetName val="19_AGRONOMICA-CB5"/>
      <sheetName val="20_TERRELOGICHE"/>
      <sheetName val="21_AMBIENTEspa"/>
      <sheetName val="22_TAUW-srl"/>
      <sheetName val="23_ARPES-srl"/>
      <sheetName val="24_GOLAR-ltd"/>
      <sheetName val="25_EROSIONESUOLI-CB3"/>
      <sheetName val="26_PER-GENOVA"/>
      <sheetName val="27_SNAM"/>
      <sheetName val="PERSONALE"/>
      <sheetName val="FATTURE-CT"/>
      <sheetName val="Foglio1"/>
    </sheetNames>
    <sheetDataSet>
      <sheetData sheetId="0" refreshError="1"/>
      <sheetData sheetId="1" refreshError="1"/>
      <sheetData sheetId="2" refreshError="1"/>
      <sheetData sheetId="3">
        <row r="21">
          <cell r="B21">
            <v>39800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37270</v>
          </cell>
        </row>
        <row r="26">
          <cell r="B26">
            <v>607.19999999999993</v>
          </cell>
        </row>
        <row r="27">
          <cell r="B27">
            <v>1918.36</v>
          </cell>
        </row>
      </sheetData>
      <sheetData sheetId="4">
        <row r="29">
          <cell r="C29">
            <v>10000</v>
          </cell>
        </row>
        <row r="33">
          <cell r="C33">
            <v>9851.4500000000007</v>
          </cell>
        </row>
        <row r="34">
          <cell r="C34">
            <v>148.55000000000001</v>
          </cell>
        </row>
        <row r="36">
          <cell r="C36">
            <v>0</v>
          </cell>
        </row>
      </sheetData>
      <sheetData sheetId="5">
        <row r="29">
          <cell r="C29">
            <v>7906</v>
          </cell>
        </row>
        <row r="30">
          <cell r="C30">
            <v>0</v>
          </cell>
        </row>
        <row r="33">
          <cell r="C33">
            <v>6000</v>
          </cell>
        </row>
        <row r="35">
          <cell r="C35">
            <v>1906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6">
        <row r="21">
          <cell r="B21">
            <v>12295.08</v>
          </cell>
        </row>
        <row r="24">
          <cell r="B24">
            <v>11450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232.39699999999999</v>
          </cell>
        </row>
        <row r="28">
          <cell r="B28">
            <v>592.62285599999996</v>
          </cell>
        </row>
      </sheetData>
      <sheetData sheetId="7">
        <row r="29">
          <cell r="C29">
            <v>11083.25</v>
          </cell>
        </row>
        <row r="30">
          <cell r="C30">
            <v>0</v>
          </cell>
        </row>
        <row r="32">
          <cell r="C32">
            <v>3660</v>
          </cell>
        </row>
        <row r="33">
          <cell r="C33">
            <v>5000</v>
          </cell>
        </row>
        <row r="34">
          <cell r="C34">
            <v>2423.25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8">
        <row r="29">
          <cell r="C29">
            <v>79395.083000000115</v>
          </cell>
        </row>
        <row r="30">
          <cell r="C30">
            <v>23246.794999999998</v>
          </cell>
        </row>
        <row r="31">
          <cell r="C31">
            <v>24820.799999999999</v>
          </cell>
        </row>
        <row r="32">
          <cell r="C32">
            <v>34870.47</v>
          </cell>
        </row>
        <row r="33">
          <cell r="C33">
            <v>1487.99</v>
          </cell>
        </row>
        <row r="35">
          <cell r="C35">
            <v>23246.794999999998</v>
          </cell>
        </row>
        <row r="36">
          <cell r="C36">
            <v>18215.82</v>
          </cell>
        </row>
      </sheetData>
      <sheetData sheetId="9">
        <row r="29">
          <cell r="C29">
            <v>122533.2</v>
          </cell>
        </row>
        <row r="30">
          <cell r="C30">
            <v>2434.7285000000006</v>
          </cell>
        </row>
        <row r="32">
          <cell r="C32">
            <v>75000</v>
          </cell>
        </row>
        <row r="33">
          <cell r="C33">
            <v>35490.050000000003</v>
          </cell>
          <cell r="J33">
            <v>9638.51</v>
          </cell>
        </row>
        <row r="34">
          <cell r="C34">
            <v>1085.6300000000001</v>
          </cell>
        </row>
        <row r="37">
          <cell r="I37">
            <v>1318.82</v>
          </cell>
        </row>
      </sheetData>
      <sheetData sheetId="10">
        <row r="29">
          <cell r="C29">
            <v>37644.06</v>
          </cell>
        </row>
        <row r="30">
          <cell r="C30">
            <v>952.64</v>
          </cell>
        </row>
        <row r="31">
          <cell r="C31">
            <v>1765</v>
          </cell>
        </row>
        <row r="32">
          <cell r="C32">
            <v>11665.3</v>
          </cell>
        </row>
        <row r="34">
          <cell r="C34">
            <v>11625.58</v>
          </cell>
        </row>
        <row r="35">
          <cell r="C35">
            <v>12465</v>
          </cell>
        </row>
        <row r="36">
          <cell r="C36">
            <v>33.18</v>
          </cell>
        </row>
      </sheetData>
      <sheetData sheetId="11">
        <row r="29">
          <cell r="C29">
            <v>16000</v>
          </cell>
        </row>
        <row r="33">
          <cell r="C33">
            <v>15113.89</v>
          </cell>
        </row>
        <row r="34">
          <cell r="C34">
            <v>62</v>
          </cell>
        </row>
        <row r="35">
          <cell r="C35">
            <v>824.11</v>
          </cell>
        </row>
      </sheetData>
      <sheetData sheetId="12">
        <row r="29">
          <cell r="C29">
            <v>48506.16</v>
          </cell>
        </row>
        <row r="31">
          <cell r="C31">
            <v>11081.5</v>
          </cell>
        </row>
        <row r="32">
          <cell r="C32">
            <v>33240</v>
          </cell>
        </row>
        <row r="33">
          <cell r="C33">
            <v>713.76</v>
          </cell>
        </row>
        <row r="34">
          <cell r="C34">
            <v>3470.9</v>
          </cell>
        </row>
        <row r="35">
          <cell r="C35">
            <v>0</v>
          </cell>
        </row>
      </sheetData>
      <sheetData sheetId="13">
        <row r="21">
          <cell r="B21">
            <v>0</v>
          </cell>
        </row>
        <row r="24">
          <cell r="B24">
            <v>0</v>
          </cell>
        </row>
        <row r="26">
          <cell r="B26">
            <v>0</v>
          </cell>
        </row>
        <row r="27">
          <cell r="B27">
            <v>0</v>
          </cell>
        </row>
      </sheetData>
      <sheetData sheetId="14">
        <row r="29">
          <cell r="C29">
            <v>10000</v>
          </cell>
        </row>
        <row r="33">
          <cell r="C33">
            <v>10000</v>
          </cell>
        </row>
        <row r="35">
          <cell r="C35">
            <v>0</v>
          </cell>
        </row>
      </sheetData>
      <sheetData sheetId="15">
        <row r="21">
          <cell r="B21">
            <v>4761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4440</v>
          </cell>
        </row>
        <row r="25">
          <cell r="B25">
            <v>0</v>
          </cell>
        </row>
        <row r="26">
          <cell r="B26">
            <v>77.039999999999992</v>
          </cell>
        </row>
        <row r="27">
          <cell r="B27">
            <v>229.4802</v>
          </cell>
        </row>
      </sheetData>
      <sheetData sheetId="16">
        <row r="21">
          <cell r="B21">
            <v>10800</v>
          </cell>
        </row>
        <row r="24">
          <cell r="B24">
            <v>10000</v>
          </cell>
        </row>
        <row r="27">
          <cell r="B27">
            <v>220.00000000000003</v>
          </cell>
        </row>
        <row r="28">
          <cell r="B28">
            <v>520.55999999999995</v>
          </cell>
        </row>
      </sheetData>
      <sheetData sheetId="17">
        <row r="17">
          <cell r="I17">
            <v>9000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8400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165</v>
          </cell>
        </row>
        <row r="28">
          <cell r="B28">
            <v>433.8</v>
          </cell>
        </row>
      </sheetData>
      <sheetData sheetId="18">
        <row r="29">
          <cell r="C29">
            <v>8319</v>
          </cell>
        </row>
        <row r="30">
          <cell r="C30">
            <v>0</v>
          </cell>
        </row>
        <row r="31">
          <cell r="C31">
            <v>6306</v>
          </cell>
        </row>
        <row r="34">
          <cell r="C34">
            <v>2012.04</v>
          </cell>
        </row>
        <row r="35">
          <cell r="C35">
            <v>0</v>
          </cell>
        </row>
        <row r="38">
          <cell r="C38">
            <v>0</v>
          </cell>
        </row>
      </sheetData>
      <sheetData sheetId="19">
        <row r="29">
          <cell r="C29">
            <v>646</v>
          </cell>
        </row>
        <row r="34">
          <cell r="C34">
            <v>645.27</v>
          </cell>
        </row>
      </sheetData>
      <sheetData sheetId="20"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</sheetData>
      <sheetData sheetId="21">
        <row r="21">
          <cell r="B21">
            <v>12000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11200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220.00000000000003</v>
          </cell>
        </row>
        <row r="28">
          <cell r="B28">
            <v>578.4</v>
          </cell>
        </row>
      </sheetData>
      <sheetData sheetId="22">
        <row r="21">
          <cell r="B21">
            <v>700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650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13.750000000000002</v>
          </cell>
        </row>
        <row r="28">
          <cell r="B28">
            <v>33.74</v>
          </cell>
        </row>
      </sheetData>
      <sheetData sheetId="23">
        <row r="21">
          <cell r="B21">
            <v>350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320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8.25</v>
          </cell>
        </row>
        <row r="28">
          <cell r="B28">
            <v>16.87</v>
          </cell>
        </row>
      </sheetData>
      <sheetData sheetId="24">
        <row r="21">
          <cell r="B21">
            <v>2100</v>
          </cell>
        </row>
        <row r="24">
          <cell r="B24">
            <v>1950</v>
          </cell>
        </row>
        <row r="27">
          <cell r="B27">
            <v>41.25</v>
          </cell>
        </row>
        <row r="28">
          <cell r="B28">
            <v>101.22</v>
          </cell>
        </row>
      </sheetData>
      <sheetData sheetId="25">
        <row r="21">
          <cell r="B21">
            <v>6300</v>
          </cell>
        </row>
        <row r="24">
          <cell r="B24">
            <v>5850</v>
          </cell>
        </row>
        <row r="27">
          <cell r="B27">
            <v>123.75000000000001</v>
          </cell>
        </row>
        <row r="28">
          <cell r="B28">
            <v>303.66000000000003</v>
          </cell>
        </row>
      </sheetData>
      <sheetData sheetId="26">
        <row r="21">
          <cell r="B21">
            <v>14400</v>
          </cell>
        </row>
        <row r="24">
          <cell r="B24">
            <v>13440</v>
          </cell>
        </row>
        <row r="27">
          <cell r="B27">
            <v>264</v>
          </cell>
        </row>
        <row r="28">
          <cell r="B28">
            <v>694.08</v>
          </cell>
        </row>
      </sheetData>
      <sheetData sheetId="27">
        <row r="21">
          <cell r="B21">
            <v>4098.3599999999997</v>
          </cell>
        </row>
        <row r="24">
          <cell r="B24">
            <v>3820</v>
          </cell>
        </row>
        <row r="27">
          <cell r="B27">
            <v>76.548999999999921</v>
          </cell>
        </row>
        <row r="28">
          <cell r="B28">
            <v>197.54095199999998</v>
          </cell>
        </row>
      </sheetData>
      <sheetData sheetId="28">
        <row r="21">
          <cell r="B21">
            <v>4500</v>
          </cell>
        </row>
        <row r="24">
          <cell r="B24">
            <v>4200</v>
          </cell>
        </row>
        <row r="27">
          <cell r="B27">
            <v>82.5</v>
          </cell>
        </row>
        <row r="28">
          <cell r="B28">
            <v>216.9</v>
          </cell>
        </row>
      </sheetData>
      <sheetData sheetId="29">
        <row r="21">
          <cell r="B21">
            <v>7800</v>
          </cell>
        </row>
        <row r="24">
          <cell r="B24">
            <v>7280</v>
          </cell>
        </row>
        <row r="27">
          <cell r="B27">
            <v>143</v>
          </cell>
        </row>
        <row r="28">
          <cell r="B28">
            <v>375.96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X68"/>
  <sheetViews>
    <sheetView zoomScale="138" zoomScaleNormal="138" workbookViewId="0">
      <selection activeCell="D26" sqref="D26"/>
    </sheetView>
  </sheetViews>
  <sheetFormatPr baseColWidth="10" defaultColWidth="9.1640625" defaultRowHeight="14" x14ac:dyDescent="0.2"/>
  <cols>
    <col min="1" max="2" width="9.1640625" style="149"/>
    <col min="3" max="3" width="25" style="149" customWidth="1"/>
    <col min="4" max="4" width="11.5" style="149" bestFit="1" customWidth="1"/>
    <col min="5" max="16384" width="9.1640625" style="149"/>
  </cols>
  <sheetData>
    <row r="3" spans="3:24" x14ac:dyDescent="0.2">
      <c r="C3" s="233" t="s">
        <v>767</v>
      </c>
    </row>
    <row r="4" spans="3:24" x14ac:dyDescent="0.2">
      <c r="C4" s="767" t="s">
        <v>641</v>
      </c>
      <c r="D4" s="768">
        <v>15305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3"/>
    </row>
    <row r="5" spans="3:24" x14ac:dyDescent="0.2">
      <c r="C5" s="769" t="s">
        <v>768</v>
      </c>
      <c r="D5" s="770">
        <v>-11176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3:24" x14ac:dyDescent="0.2">
      <c r="C6" s="769" t="s">
        <v>769</v>
      </c>
      <c r="D6" s="770">
        <v>7048.37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3"/>
    </row>
    <row r="7" spans="3:24" x14ac:dyDescent="0.2">
      <c r="C7" s="767" t="s">
        <v>727</v>
      </c>
      <c r="D7" s="768">
        <f>SUM(D4:D6)</f>
        <v>11177.369999999999</v>
      </c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3"/>
    </row>
    <row r="8" spans="3:24" x14ac:dyDescent="0.2">
      <c r="C8" s="769" t="s">
        <v>888</v>
      </c>
      <c r="D8" s="770">
        <v>-8576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3"/>
    </row>
    <row r="9" spans="3:24" x14ac:dyDescent="0.2">
      <c r="C9" s="769" t="s">
        <v>889</v>
      </c>
      <c r="D9" s="770">
        <v>5976</v>
      </c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3"/>
    </row>
    <row r="10" spans="3:24" x14ac:dyDescent="0.2">
      <c r="C10" s="233" t="s">
        <v>866</v>
      </c>
      <c r="D10" s="331">
        <f>SUM(D7:D9)</f>
        <v>8577.369999999999</v>
      </c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3"/>
    </row>
    <row r="11" spans="3:24" x14ac:dyDescent="0.2">
      <c r="C11" s="149" t="s">
        <v>1050</v>
      </c>
      <c r="D11" s="332">
        <v>-3335.8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3"/>
    </row>
    <row r="12" spans="3:24" x14ac:dyDescent="0.2">
      <c r="C12" s="149" t="s">
        <v>1050</v>
      </c>
      <c r="D12" s="332">
        <v>-1664.2</v>
      </c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3"/>
    </row>
    <row r="13" spans="3:24" x14ac:dyDescent="0.2">
      <c r="C13" s="149" t="s">
        <v>1051</v>
      </c>
      <c r="D13" s="332">
        <v>-1268</v>
      </c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3"/>
    </row>
    <row r="14" spans="3:24" x14ac:dyDescent="0.2">
      <c r="C14" s="149" t="s">
        <v>1051</v>
      </c>
      <c r="D14" s="332">
        <v>-1429</v>
      </c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3"/>
    </row>
    <row r="15" spans="3:24" x14ac:dyDescent="0.2">
      <c r="C15" s="233" t="s">
        <v>1052</v>
      </c>
      <c r="D15" s="331">
        <f>SUM(D10:D14)</f>
        <v>880.36999999999898</v>
      </c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3"/>
    </row>
    <row r="16" spans="3:24" x14ac:dyDescent="0.2"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3"/>
    </row>
    <row r="17" spans="3:24" x14ac:dyDescent="0.2">
      <c r="C17" s="233" t="s">
        <v>770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3"/>
    </row>
    <row r="18" spans="3:24" x14ac:dyDescent="0.2">
      <c r="C18" s="767" t="s">
        <v>641</v>
      </c>
      <c r="D18" s="768">
        <v>4546</v>
      </c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3"/>
    </row>
    <row r="19" spans="3:24" x14ac:dyDescent="0.2">
      <c r="C19" s="769" t="s">
        <v>771</v>
      </c>
      <c r="D19" s="770">
        <v>-4545</v>
      </c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3"/>
    </row>
    <row r="20" spans="3:24" x14ac:dyDescent="0.2">
      <c r="C20" s="769" t="s">
        <v>772</v>
      </c>
      <c r="D20" s="770">
        <v>4439.96</v>
      </c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3"/>
    </row>
    <row r="21" spans="3:24" x14ac:dyDescent="0.2">
      <c r="C21" s="767" t="s">
        <v>727</v>
      </c>
      <c r="D21" s="768">
        <f>SUM(D18:D20)</f>
        <v>4440.96</v>
      </c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3"/>
    </row>
    <row r="22" spans="3:24" x14ac:dyDescent="0.2">
      <c r="C22" s="769" t="s">
        <v>890</v>
      </c>
      <c r="D22" s="770">
        <v>-3975</v>
      </c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3"/>
    </row>
    <row r="23" spans="3:24" x14ac:dyDescent="0.2">
      <c r="C23" s="769" t="s">
        <v>891</v>
      </c>
      <c r="D23" s="770">
        <v>3461</v>
      </c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3"/>
    </row>
    <row r="24" spans="3:24" x14ac:dyDescent="0.2">
      <c r="C24" s="233" t="s">
        <v>866</v>
      </c>
      <c r="D24" s="331">
        <f>SUM(D21:D23)</f>
        <v>3926.96</v>
      </c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3"/>
    </row>
    <row r="25" spans="3:24" x14ac:dyDescent="0.2">
      <c r="C25" s="149" t="s">
        <v>1051</v>
      </c>
      <c r="D25" s="332">
        <v>-4018</v>
      </c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3"/>
    </row>
    <row r="26" spans="3:24" x14ac:dyDescent="0.2">
      <c r="C26" s="149" t="s">
        <v>1053</v>
      </c>
      <c r="D26" s="149">
        <f>1654.2+2416.8+48.32</f>
        <v>4119.32</v>
      </c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3"/>
    </row>
    <row r="27" spans="3:24" x14ac:dyDescent="0.2">
      <c r="C27" s="233" t="s">
        <v>1052</v>
      </c>
      <c r="D27" s="771">
        <f>SUM(D24:D26)</f>
        <v>4028.2799999999997</v>
      </c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3"/>
    </row>
    <row r="28" spans="3:24" x14ac:dyDescent="0.2"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3"/>
    </row>
    <row r="29" spans="3:24" x14ac:dyDescent="0.2"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3"/>
    </row>
    <row r="30" spans="3:24" x14ac:dyDescent="0.2"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3"/>
    </row>
    <row r="31" spans="3:24" x14ac:dyDescent="0.2"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3"/>
    </row>
    <row r="32" spans="3:24" x14ac:dyDescent="0.2"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3"/>
    </row>
    <row r="33" spans="4:24" x14ac:dyDescent="0.2"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3"/>
    </row>
    <row r="34" spans="4:24" x14ac:dyDescent="0.2"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3"/>
    </row>
    <row r="35" spans="4:24" x14ac:dyDescent="0.2"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3"/>
    </row>
    <row r="36" spans="4:24" x14ac:dyDescent="0.2"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3"/>
    </row>
    <row r="37" spans="4:24" x14ac:dyDescent="0.2"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3"/>
    </row>
    <row r="38" spans="4:24" x14ac:dyDescent="0.2"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</row>
    <row r="39" spans="4:24" x14ac:dyDescent="0.2"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3"/>
    </row>
    <row r="40" spans="4:24" x14ac:dyDescent="0.2"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3"/>
    </row>
    <row r="41" spans="4:24" x14ac:dyDescent="0.2"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3"/>
    </row>
    <row r="42" spans="4:24" x14ac:dyDescent="0.2"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3"/>
    </row>
    <row r="43" spans="4:24" x14ac:dyDescent="0.2"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3"/>
    </row>
    <row r="44" spans="4:24" x14ac:dyDescent="0.2"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3"/>
    </row>
    <row r="45" spans="4:24" x14ac:dyDescent="0.2"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3"/>
    </row>
    <row r="46" spans="4:24" x14ac:dyDescent="0.2"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3"/>
    </row>
    <row r="47" spans="4:24" x14ac:dyDescent="0.2"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3"/>
    </row>
    <row r="48" spans="4:24" x14ac:dyDescent="0.2"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3"/>
    </row>
    <row r="49" spans="4:24" x14ac:dyDescent="0.2"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3"/>
    </row>
    <row r="50" spans="4:24" x14ac:dyDescent="0.2"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3"/>
    </row>
    <row r="51" spans="4:24" x14ac:dyDescent="0.2"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3"/>
    </row>
    <row r="52" spans="4:24" x14ac:dyDescent="0.2"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3"/>
    </row>
    <row r="53" spans="4:24" x14ac:dyDescent="0.2"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3"/>
    </row>
    <row r="54" spans="4:24" x14ac:dyDescent="0.2"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3"/>
    </row>
    <row r="55" spans="4:24" x14ac:dyDescent="0.2"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3"/>
    </row>
    <row r="56" spans="4:24" x14ac:dyDescent="0.2"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</row>
    <row r="57" spans="4:24" x14ac:dyDescent="0.2"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</row>
    <row r="58" spans="4:24" x14ac:dyDescent="0.2"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</row>
    <row r="59" spans="4:24" x14ac:dyDescent="0.2"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</row>
    <row r="60" spans="4:24" x14ac:dyDescent="0.2"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</row>
    <row r="61" spans="4:24" x14ac:dyDescent="0.2"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</row>
    <row r="62" spans="4:24" x14ac:dyDescent="0.2"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</row>
    <row r="63" spans="4:24" x14ac:dyDescent="0.2"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</row>
    <row r="64" spans="4:24" x14ac:dyDescent="0.2"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</row>
    <row r="65" spans="4:23" x14ac:dyDescent="0.2"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</row>
    <row r="66" spans="4:23" x14ac:dyDescent="0.2"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</row>
    <row r="67" spans="4:23" x14ac:dyDescent="0.2"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</row>
    <row r="68" spans="4:23" x14ac:dyDescent="0.2"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97"/>
  <sheetViews>
    <sheetView zoomScale="128" zoomScaleNormal="128" workbookViewId="0">
      <selection activeCell="B27" sqref="B27"/>
    </sheetView>
  </sheetViews>
  <sheetFormatPr baseColWidth="10" defaultColWidth="9.1640625" defaultRowHeight="14" x14ac:dyDescent="0.2"/>
  <cols>
    <col min="1" max="1" width="9.1640625" style="149"/>
    <col min="2" max="2" width="26.6640625" style="149" bestFit="1" customWidth="1"/>
    <col min="3" max="3" width="13" style="149" bestFit="1" customWidth="1"/>
    <col min="4" max="6" width="9.1640625" style="149"/>
    <col min="7" max="7" width="52" style="149" bestFit="1" customWidth="1"/>
    <col min="8" max="8" width="12" style="149" bestFit="1" customWidth="1"/>
    <col min="9" max="16384" width="9.1640625" style="149"/>
  </cols>
  <sheetData>
    <row r="3" spans="2:9" x14ac:dyDescent="0.2">
      <c r="B3" s="233" t="s">
        <v>635</v>
      </c>
      <c r="G3" s="233" t="s">
        <v>637</v>
      </c>
    </row>
    <row r="4" spans="2:9" x14ac:dyDescent="0.2">
      <c r="B4" s="235" t="s">
        <v>636</v>
      </c>
      <c r="C4" s="234">
        <v>57800</v>
      </c>
      <c r="G4" s="233" t="s">
        <v>641</v>
      </c>
      <c r="H4" s="237">
        <v>42400</v>
      </c>
      <c r="I4" s="149" t="s">
        <v>638</v>
      </c>
    </row>
    <row r="5" spans="2:9" x14ac:dyDescent="0.2">
      <c r="B5" s="235">
        <v>2021</v>
      </c>
      <c r="C5" s="236"/>
      <c r="G5" s="235" t="s">
        <v>639</v>
      </c>
      <c r="H5" s="236">
        <v>10400</v>
      </c>
    </row>
    <row r="6" spans="2:9" x14ac:dyDescent="0.2">
      <c r="B6" s="235" t="s">
        <v>723</v>
      </c>
      <c r="C6" s="236">
        <v>-57800</v>
      </c>
      <c r="G6" s="235" t="s">
        <v>640</v>
      </c>
      <c r="H6" s="236">
        <v>31800</v>
      </c>
    </row>
    <row r="7" spans="2:9" x14ac:dyDescent="0.2">
      <c r="B7" s="235" t="s">
        <v>724</v>
      </c>
      <c r="C7" s="236">
        <v>239651.48</v>
      </c>
      <c r="G7" s="233" t="s">
        <v>727</v>
      </c>
      <c r="H7" s="237">
        <v>42400</v>
      </c>
    </row>
    <row r="8" spans="2:9" x14ac:dyDescent="0.2">
      <c r="B8" s="149" t="s">
        <v>725</v>
      </c>
      <c r="C8" s="234">
        <v>-50000</v>
      </c>
      <c r="G8" s="233" t="s">
        <v>1054</v>
      </c>
      <c r="H8" s="237">
        <v>42400</v>
      </c>
    </row>
    <row r="9" spans="2:9" x14ac:dyDescent="0.2">
      <c r="B9" s="149" t="s">
        <v>726</v>
      </c>
      <c r="C9" s="234">
        <v>-118279.73</v>
      </c>
      <c r="G9" s="149" t="s">
        <v>1055</v>
      </c>
      <c r="H9" s="772">
        <v>-42400</v>
      </c>
    </row>
    <row r="10" spans="2:9" x14ac:dyDescent="0.2">
      <c r="B10" s="233" t="s">
        <v>688</v>
      </c>
      <c r="C10" s="237">
        <f>SUM(C4:C9)</f>
        <v>71371.750000000015</v>
      </c>
      <c r="G10" s="233" t="s">
        <v>953</v>
      </c>
      <c r="H10" s="237">
        <f>SUM(H8:H9)</f>
        <v>0</v>
      </c>
    </row>
    <row r="11" spans="2:9" x14ac:dyDescent="0.2">
      <c r="B11" s="233" t="s">
        <v>953</v>
      </c>
      <c r="C11" s="237">
        <v>0</v>
      </c>
      <c r="D11" s="234"/>
    </row>
    <row r="12" spans="2:9" x14ac:dyDescent="0.2">
      <c r="C12" s="234"/>
      <c r="D12" s="234"/>
    </row>
    <row r="13" spans="2:9" x14ac:dyDescent="0.2">
      <c r="C13" s="234"/>
      <c r="D13" s="234"/>
    </row>
    <row r="14" spans="2:9" x14ac:dyDescent="0.2">
      <c r="C14" s="234"/>
      <c r="D14" s="234"/>
      <c r="H14" s="234"/>
    </row>
    <row r="15" spans="2:9" x14ac:dyDescent="0.2">
      <c r="B15" s="233"/>
      <c r="C15" s="237"/>
      <c r="H15" s="234"/>
    </row>
    <row r="16" spans="2:9" x14ac:dyDescent="0.2">
      <c r="C16" s="234"/>
      <c r="H16" s="234"/>
    </row>
    <row r="17" spans="2:8" x14ac:dyDescent="0.2">
      <c r="C17" s="234"/>
      <c r="H17" s="234"/>
    </row>
    <row r="18" spans="2:8" x14ac:dyDescent="0.2">
      <c r="H18" s="234"/>
    </row>
    <row r="19" spans="2:8" x14ac:dyDescent="0.2">
      <c r="H19" s="234"/>
    </row>
    <row r="20" spans="2:8" x14ac:dyDescent="0.2">
      <c r="G20" s="233"/>
      <c r="H20" s="234"/>
    </row>
    <row r="21" spans="2:8" x14ac:dyDescent="0.2">
      <c r="B21" s="235"/>
      <c r="C21" s="236"/>
      <c r="H21" s="234"/>
    </row>
    <row r="22" spans="2:8" x14ac:dyDescent="0.2">
      <c r="B22" s="233"/>
      <c r="C22" s="234"/>
      <c r="H22" s="234"/>
    </row>
    <row r="23" spans="2:8" x14ac:dyDescent="0.2">
      <c r="C23" s="234"/>
      <c r="H23" s="234"/>
    </row>
    <row r="24" spans="2:8" x14ac:dyDescent="0.2">
      <c r="C24" s="234"/>
      <c r="G24" s="233"/>
      <c r="H24" s="237"/>
    </row>
    <row r="25" spans="2:8" x14ac:dyDescent="0.2">
      <c r="C25" s="234"/>
      <c r="G25" s="235"/>
      <c r="H25" s="236"/>
    </row>
    <row r="26" spans="2:8" x14ac:dyDescent="0.2">
      <c r="C26" s="234"/>
      <c r="G26" s="235"/>
      <c r="H26" s="236"/>
    </row>
    <row r="27" spans="2:8" x14ac:dyDescent="0.2">
      <c r="B27" s="233"/>
      <c r="C27" s="237"/>
      <c r="H27" s="234"/>
    </row>
    <row r="28" spans="2:8" x14ac:dyDescent="0.2">
      <c r="B28" s="235"/>
      <c r="C28" s="236"/>
      <c r="H28" s="234"/>
    </row>
    <row r="29" spans="2:8" x14ac:dyDescent="0.2">
      <c r="B29" s="235"/>
      <c r="C29" s="236"/>
      <c r="H29" s="234"/>
    </row>
    <row r="30" spans="2:8" x14ac:dyDescent="0.2">
      <c r="B30" s="235"/>
      <c r="C30" s="236"/>
    </row>
    <row r="31" spans="2:8" x14ac:dyDescent="0.2">
      <c r="B31" s="235"/>
      <c r="C31" s="236"/>
    </row>
    <row r="32" spans="2:8" x14ac:dyDescent="0.2">
      <c r="C32" s="234"/>
    </row>
    <row r="35" spans="7:8" x14ac:dyDescent="0.2">
      <c r="H35" s="234"/>
    </row>
    <row r="36" spans="7:8" x14ac:dyDescent="0.2">
      <c r="H36" s="234"/>
    </row>
    <row r="37" spans="7:8" x14ac:dyDescent="0.2">
      <c r="H37" s="234"/>
    </row>
    <row r="38" spans="7:8" x14ac:dyDescent="0.2">
      <c r="H38" s="234"/>
    </row>
    <row r="39" spans="7:8" x14ac:dyDescent="0.2">
      <c r="H39" s="234"/>
    </row>
    <row r="40" spans="7:8" x14ac:dyDescent="0.2">
      <c r="H40" s="234"/>
    </row>
    <row r="41" spans="7:8" x14ac:dyDescent="0.2">
      <c r="G41" s="233"/>
      <c r="H41" s="237"/>
    </row>
    <row r="42" spans="7:8" x14ac:dyDescent="0.2">
      <c r="G42" s="235"/>
      <c r="H42" s="236"/>
    </row>
    <row r="43" spans="7:8" x14ac:dyDescent="0.2">
      <c r="G43" s="235"/>
      <c r="H43" s="236"/>
    </row>
    <row r="44" spans="7:8" x14ac:dyDescent="0.2">
      <c r="H44" s="234"/>
    </row>
    <row r="45" spans="7:8" x14ac:dyDescent="0.2">
      <c r="H45" s="234"/>
    </row>
    <row r="46" spans="7:8" x14ac:dyDescent="0.2">
      <c r="H46" s="234"/>
    </row>
    <row r="47" spans="7:8" x14ac:dyDescent="0.2">
      <c r="H47" s="234"/>
    </row>
    <row r="48" spans="7:8" x14ac:dyDescent="0.2">
      <c r="H48" s="234"/>
    </row>
    <row r="49" spans="8:8" x14ac:dyDescent="0.2">
      <c r="H49" s="234"/>
    </row>
    <row r="50" spans="8:8" x14ac:dyDescent="0.2">
      <c r="H50" s="234"/>
    </row>
    <row r="51" spans="8:8" x14ac:dyDescent="0.2">
      <c r="H51" s="234"/>
    </row>
    <row r="52" spans="8:8" x14ac:dyDescent="0.2">
      <c r="H52" s="234"/>
    </row>
    <row r="53" spans="8:8" x14ac:dyDescent="0.2">
      <c r="H53" s="234"/>
    </row>
    <row r="54" spans="8:8" x14ac:dyDescent="0.2">
      <c r="H54" s="234"/>
    </row>
    <row r="55" spans="8:8" x14ac:dyDescent="0.2">
      <c r="H55" s="234"/>
    </row>
    <row r="56" spans="8:8" x14ac:dyDescent="0.2">
      <c r="H56" s="234"/>
    </row>
    <row r="57" spans="8:8" x14ac:dyDescent="0.2">
      <c r="H57" s="234"/>
    </row>
    <row r="58" spans="8:8" x14ac:dyDescent="0.2">
      <c r="H58" s="234"/>
    </row>
    <row r="59" spans="8:8" x14ac:dyDescent="0.2">
      <c r="H59" s="234"/>
    </row>
    <row r="60" spans="8:8" x14ac:dyDescent="0.2">
      <c r="H60" s="234"/>
    </row>
    <row r="61" spans="8:8" x14ac:dyDescent="0.2">
      <c r="H61" s="234"/>
    </row>
    <row r="62" spans="8:8" x14ac:dyDescent="0.2">
      <c r="H62" s="234"/>
    </row>
    <row r="63" spans="8:8" x14ac:dyDescent="0.2">
      <c r="H63" s="234"/>
    </row>
    <row r="64" spans="8:8" x14ac:dyDescent="0.2">
      <c r="H64" s="234"/>
    </row>
    <row r="65" spans="8:8" x14ac:dyDescent="0.2">
      <c r="H65" s="234"/>
    </row>
    <row r="66" spans="8:8" x14ac:dyDescent="0.2">
      <c r="H66" s="234"/>
    </row>
    <row r="67" spans="8:8" x14ac:dyDescent="0.2">
      <c r="H67" s="234"/>
    </row>
    <row r="68" spans="8:8" x14ac:dyDescent="0.2">
      <c r="H68" s="234"/>
    </row>
    <row r="69" spans="8:8" x14ac:dyDescent="0.2">
      <c r="H69" s="234"/>
    </row>
    <row r="70" spans="8:8" x14ac:dyDescent="0.2">
      <c r="H70" s="234"/>
    </row>
    <row r="71" spans="8:8" x14ac:dyDescent="0.2">
      <c r="H71" s="234"/>
    </row>
    <row r="72" spans="8:8" x14ac:dyDescent="0.2">
      <c r="H72" s="234"/>
    </row>
    <row r="73" spans="8:8" x14ac:dyDescent="0.2">
      <c r="H73" s="234"/>
    </row>
    <row r="74" spans="8:8" x14ac:dyDescent="0.2">
      <c r="H74" s="234"/>
    </row>
    <row r="75" spans="8:8" x14ac:dyDescent="0.2">
      <c r="H75" s="234"/>
    </row>
    <row r="76" spans="8:8" x14ac:dyDescent="0.2">
      <c r="H76" s="234"/>
    </row>
    <row r="77" spans="8:8" x14ac:dyDescent="0.2">
      <c r="H77" s="234"/>
    </row>
    <row r="78" spans="8:8" x14ac:dyDescent="0.2">
      <c r="H78" s="234"/>
    </row>
    <row r="79" spans="8:8" x14ac:dyDescent="0.2">
      <c r="H79" s="234"/>
    </row>
    <row r="80" spans="8:8" x14ac:dyDescent="0.2">
      <c r="H80" s="234"/>
    </row>
    <row r="81" spans="8:8" x14ac:dyDescent="0.2">
      <c r="H81" s="234"/>
    </row>
    <row r="82" spans="8:8" x14ac:dyDescent="0.2">
      <c r="H82" s="234"/>
    </row>
    <row r="83" spans="8:8" x14ac:dyDescent="0.2">
      <c r="H83" s="234"/>
    </row>
    <row r="84" spans="8:8" x14ac:dyDescent="0.2">
      <c r="H84" s="234"/>
    </row>
    <row r="85" spans="8:8" x14ac:dyDescent="0.2">
      <c r="H85" s="234"/>
    </row>
    <row r="86" spans="8:8" x14ac:dyDescent="0.2">
      <c r="H86" s="234"/>
    </row>
    <row r="87" spans="8:8" x14ac:dyDescent="0.2">
      <c r="H87" s="234"/>
    </row>
    <row r="88" spans="8:8" x14ac:dyDescent="0.2">
      <c r="H88" s="234"/>
    </row>
    <row r="89" spans="8:8" x14ac:dyDescent="0.2">
      <c r="H89" s="234"/>
    </row>
    <row r="90" spans="8:8" x14ac:dyDescent="0.2">
      <c r="H90" s="234"/>
    </row>
    <row r="91" spans="8:8" x14ac:dyDescent="0.2">
      <c r="H91" s="234"/>
    </row>
    <row r="92" spans="8:8" x14ac:dyDescent="0.2">
      <c r="H92" s="234"/>
    </row>
    <row r="93" spans="8:8" x14ac:dyDescent="0.2">
      <c r="H93" s="234"/>
    </row>
    <row r="94" spans="8:8" x14ac:dyDescent="0.2">
      <c r="H94" s="234"/>
    </row>
    <row r="95" spans="8:8" x14ac:dyDescent="0.2">
      <c r="H95" s="234"/>
    </row>
    <row r="96" spans="8:8" x14ac:dyDescent="0.2">
      <c r="H96" s="234"/>
    </row>
    <row r="97" spans="8:8" x14ac:dyDescent="0.2">
      <c r="H97" s="234"/>
    </row>
    <row r="98" spans="8:8" x14ac:dyDescent="0.2">
      <c r="H98" s="234"/>
    </row>
    <row r="99" spans="8:8" x14ac:dyDescent="0.2">
      <c r="H99" s="234"/>
    </row>
    <row r="100" spans="8:8" x14ac:dyDescent="0.2">
      <c r="H100" s="234"/>
    </row>
    <row r="101" spans="8:8" x14ac:dyDescent="0.2">
      <c r="H101" s="234"/>
    </row>
    <row r="102" spans="8:8" x14ac:dyDescent="0.2">
      <c r="H102" s="234"/>
    </row>
    <row r="103" spans="8:8" x14ac:dyDescent="0.2">
      <c r="H103" s="234"/>
    </row>
    <row r="104" spans="8:8" x14ac:dyDescent="0.2">
      <c r="H104" s="234"/>
    </row>
    <row r="105" spans="8:8" x14ac:dyDescent="0.2">
      <c r="H105" s="234"/>
    </row>
    <row r="106" spans="8:8" x14ac:dyDescent="0.2">
      <c r="H106" s="234"/>
    </row>
    <row r="107" spans="8:8" x14ac:dyDescent="0.2">
      <c r="H107" s="234"/>
    </row>
    <row r="108" spans="8:8" x14ac:dyDescent="0.2">
      <c r="H108" s="234"/>
    </row>
    <row r="109" spans="8:8" x14ac:dyDescent="0.2">
      <c r="H109" s="234"/>
    </row>
    <row r="110" spans="8:8" x14ac:dyDescent="0.2">
      <c r="H110" s="234"/>
    </row>
    <row r="111" spans="8:8" x14ac:dyDescent="0.2">
      <c r="H111" s="234"/>
    </row>
    <row r="112" spans="8:8" x14ac:dyDescent="0.2">
      <c r="H112" s="234"/>
    </row>
    <row r="113" spans="8:8" x14ac:dyDescent="0.2">
      <c r="H113" s="234"/>
    </row>
    <row r="114" spans="8:8" x14ac:dyDescent="0.2">
      <c r="H114" s="234"/>
    </row>
    <row r="115" spans="8:8" x14ac:dyDescent="0.2">
      <c r="H115" s="234"/>
    </row>
    <row r="116" spans="8:8" x14ac:dyDescent="0.2">
      <c r="H116" s="234"/>
    </row>
    <row r="117" spans="8:8" x14ac:dyDescent="0.2">
      <c r="H117" s="234"/>
    </row>
    <row r="118" spans="8:8" x14ac:dyDescent="0.2">
      <c r="H118" s="234"/>
    </row>
    <row r="119" spans="8:8" x14ac:dyDescent="0.2">
      <c r="H119" s="234"/>
    </row>
    <row r="120" spans="8:8" x14ac:dyDescent="0.2">
      <c r="H120" s="234"/>
    </row>
    <row r="121" spans="8:8" x14ac:dyDescent="0.2">
      <c r="H121" s="234"/>
    </row>
    <row r="122" spans="8:8" x14ac:dyDescent="0.2">
      <c r="H122" s="234"/>
    </row>
    <row r="123" spans="8:8" x14ac:dyDescent="0.2">
      <c r="H123" s="234"/>
    </row>
    <row r="124" spans="8:8" x14ac:dyDescent="0.2">
      <c r="H124" s="234"/>
    </row>
    <row r="125" spans="8:8" x14ac:dyDescent="0.2">
      <c r="H125" s="234"/>
    </row>
    <row r="126" spans="8:8" x14ac:dyDescent="0.2">
      <c r="H126" s="234"/>
    </row>
    <row r="127" spans="8:8" x14ac:dyDescent="0.2">
      <c r="H127" s="234"/>
    </row>
    <row r="128" spans="8:8" x14ac:dyDescent="0.2">
      <c r="H128" s="234"/>
    </row>
    <row r="129" spans="8:8" x14ac:dyDescent="0.2">
      <c r="H129" s="234"/>
    </row>
    <row r="130" spans="8:8" x14ac:dyDescent="0.2">
      <c r="H130" s="234"/>
    </row>
    <row r="131" spans="8:8" x14ac:dyDescent="0.2">
      <c r="H131" s="234"/>
    </row>
    <row r="132" spans="8:8" x14ac:dyDescent="0.2">
      <c r="H132" s="234"/>
    </row>
    <row r="133" spans="8:8" x14ac:dyDescent="0.2">
      <c r="H133" s="234"/>
    </row>
    <row r="134" spans="8:8" x14ac:dyDescent="0.2">
      <c r="H134" s="234"/>
    </row>
    <row r="135" spans="8:8" x14ac:dyDescent="0.2">
      <c r="H135" s="234"/>
    </row>
    <row r="136" spans="8:8" x14ac:dyDescent="0.2">
      <c r="H136" s="234"/>
    </row>
    <row r="137" spans="8:8" x14ac:dyDescent="0.2">
      <c r="H137" s="234"/>
    </row>
    <row r="138" spans="8:8" x14ac:dyDescent="0.2">
      <c r="H138" s="234"/>
    </row>
    <row r="139" spans="8:8" x14ac:dyDescent="0.2">
      <c r="H139" s="234"/>
    </row>
    <row r="140" spans="8:8" x14ac:dyDescent="0.2">
      <c r="H140" s="234"/>
    </row>
    <row r="141" spans="8:8" x14ac:dyDescent="0.2">
      <c r="H141" s="234"/>
    </row>
    <row r="142" spans="8:8" x14ac:dyDescent="0.2">
      <c r="H142" s="234"/>
    </row>
    <row r="143" spans="8:8" x14ac:dyDescent="0.2">
      <c r="H143" s="234"/>
    </row>
    <row r="144" spans="8:8" x14ac:dyDescent="0.2">
      <c r="H144" s="234"/>
    </row>
    <row r="145" spans="8:8" x14ac:dyDescent="0.2">
      <c r="H145" s="234"/>
    </row>
    <row r="146" spans="8:8" x14ac:dyDescent="0.2">
      <c r="H146" s="234"/>
    </row>
    <row r="147" spans="8:8" x14ac:dyDescent="0.2">
      <c r="H147" s="234"/>
    </row>
    <row r="148" spans="8:8" x14ac:dyDescent="0.2">
      <c r="H148" s="234"/>
    </row>
    <row r="149" spans="8:8" x14ac:dyDescent="0.2">
      <c r="H149" s="234"/>
    </row>
    <row r="150" spans="8:8" x14ac:dyDescent="0.2">
      <c r="H150" s="234"/>
    </row>
    <row r="151" spans="8:8" x14ac:dyDescent="0.2">
      <c r="H151" s="234"/>
    </row>
    <row r="152" spans="8:8" x14ac:dyDescent="0.2">
      <c r="H152" s="234"/>
    </row>
    <row r="153" spans="8:8" x14ac:dyDescent="0.2">
      <c r="H153" s="234"/>
    </row>
    <row r="154" spans="8:8" x14ac:dyDescent="0.2">
      <c r="H154" s="234"/>
    </row>
    <row r="155" spans="8:8" x14ac:dyDescent="0.2">
      <c r="H155" s="234"/>
    </row>
    <row r="156" spans="8:8" x14ac:dyDescent="0.2">
      <c r="H156" s="234"/>
    </row>
    <row r="157" spans="8:8" x14ac:dyDescent="0.2">
      <c r="H157" s="234"/>
    </row>
    <row r="158" spans="8:8" x14ac:dyDescent="0.2">
      <c r="H158" s="234"/>
    </row>
    <row r="159" spans="8:8" x14ac:dyDescent="0.2">
      <c r="H159" s="234"/>
    </row>
    <row r="160" spans="8:8" x14ac:dyDescent="0.2">
      <c r="H160" s="234"/>
    </row>
    <row r="161" spans="8:8" x14ac:dyDescent="0.2">
      <c r="H161" s="234"/>
    </row>
    <row r="162" spans="8:8" x14ac:dyDescent="0.2">
      <c r="H162" s="234"/>
    </row>
    <row r="163" spans="8:8" x14ac:dyDescent="0.2">
      <c r="H163" s="234"/>
    </row>
    <row r="164" spans="8:8" x14ac:dyDescent="0.2">
      <c r="H164" s="234"/>
    </row>
    <row r="165" spans="8:8" x14ac:dyDescent="0.2">
      <c r="H165" s="234"/>
    </row>
    <row r="166" spans="8:8" x14ac:dyDescent="0.2">
      <c r="H166" s="234"/>
    </row>
    <row r="167" spans="8:8" x14ac:dyDescent="0.2">
      <c r="H167" s="234"/>
    </row>
    <row r="168" spans="8:8" x14ac:dyDescent="0.2">
      <c r="H168" s="234"/>
    </row>
    <row r="169" spans="8:8" x14ac:dyDescent="0.2">
      <c r="H169" s="234"/>
    </row>
    <row r="170" spans="8:8" x14ac:dyDescent="0.2">
      <c r="H170" s="234"/>
    </row>
    <row r="171" spans="8:8" x14ac:dyDescent="0.2">
      <c r="H171" s="234"/>
    </row>
    <row r="172" spans="8:8" x14ac:dyDescent="0.2">
      <c r="H172" s="234"/>
    </row>
    <row r="173" spans="8:8" x14ac:dyDescent="0.2">
      <c r="H173" s="234"/>
    </row>
    <row r="174" spans="8:8" x14ac:dyDescent="0.2">
      <c r="H174" s="234"/>
    </row>
    <row r="175" spans="8:8" x14ac:dyDescent="0.2">
      <c r="H175" s="234"/>
    </row>
    <row r="176" spans="8:8" x14ac:dyDescent="0.2">
      <c r="H176" s="234"/>
    </row>
    <row r="177" spans="8:8" x14ac:dyDescent="0.2">
      <c r="H177" s="234"/>
    </row>
    <row r="178" spans="8:8" x14ac:dyDescent="0.2">
      <c r="H178" s="234"/>
    </row>
    <row r="179" spans="8:8" x14ac:dyDescent="0.2">
      <c r="H179" s="234"/>
    </row>
    <row r="180" spans="8:8" x14ac:dyDescent="0.2">
      <c r="H180" s="234"/>
    </row>
    <row r="181" spans="8:8" x14ac:dyDescent="0.2">
      <c r="H181" s="234"/>
    </row>
    <row r="182" spans="8:8" x14ac:dyDescent="0.2">
      <c r="H182" s="234"/>
    </row>
    <row r="183" spans="8:8" x14ac:dyDescent="0.2">
      <c r="H183" s="234"/>
    </row>
    <row r="184" spans="8:8" x14ac:dyDescent="0.2">
      <c r="H184" s="234"/>
    </row>
    <row r="185" spans="8:8" x14ac:dyDescent="0.2">
      <c r="H185" s="234"/>
    </row>
    <row r="186" spans="8:8" x14ac:dyDescent="0.2">
      <c r="H186" s="234"/>
    </row>
    <row r="187" spans="8:8" x14ac:dyDescent="0.2">
      <c r="H187" s="234"/>
    </row>
    <row r="188" spans="8:8" x14ac:dyDescent="0.2">
      <c r="H188" s="234"/>
    </row>
    <row r="189" spans="8:8" x14ac:dyDescent="0.2">
      <c r="H189" s="234"/>
    </row>
    <row r="190" spans="8:8" x14ac:dyDescent="0.2">
      <c r="H190" s="234"/>
    </row>
    <row r="191" spans="8:8" x14ac:dyDescent="0.2">
      <c r="H191" s="234"/>
    </row>
    <row r="192" spans="8:8" x14ac:dyDescent="0.2">
      <c r="H192" s="234"/>
    </row>
    <row r="193" spans="8:8" x14ac:dyDescent="0.2">
      <c r="H193" s="234"/>
    </row>
    <row r="194" spans="8:8" x14ac:dyDescent="0.2">
      <c r="H194" s="234"/>
    </row>
    <row r="195" spans="8:8" x14ac:dyDescent="0.2">
      <c r="H195" s="234"/>
    </row>
    <row r="196" spans="8:8" x14ac:dyDescent="0.2">
      <c r="H196" s="234"/>
    </row>
    <row r="197" spans="8:8" x14ac:dyDescent="0.2">
      <c r="H197" s="234"/>
    </row>
    <row r="198" spans="8:8" x14ac:dyDescent="0.2">
      <c r="H198" s="234"/>
    </row>
    <row r="199" spans="8:8" x14ac:dyDescent="0.2">
      <c r="H199" s="234"/>
    </row>
    <row r="200" spans="8:8" x14ac:dyDescent="0.2">
      <c r="H200" s="234"/>
    </row>
    <row r="201" spans="8:8" x14ac:dyDescent="0.2">
      <c r="H201" s="234"/>
    </row>
    <row r="202" spans="8:8" x14ac:dyDescent="0.2">
      <c r="H202" s="234"/>
    </row>
    <row r="203" spans="8:8" x14ac:dyDescent="0.2">
      <c r="H203" s="234"/>
    </row>
    <row r="204" spans="8:8" x14ac:dyDescent="0.2">
      <c r="H204" s="234"/>
    </row>
    <row r="205" spans="8:8" x14ac:dyDescent="0.2">
      <c r="H205" s="234"/>
    </row>
    <row r="206" spans="8:8" x14ac:dyDescent="0.2">
      <c r="H206" s="234"/>
    </row>
    <row r="207" spans="8:8" x14ac:dyDescent="0.2">
      <c r="H207" s="234"/>
    </row>
    <row r="208" spans="8:8" x14ac:dyDescent="0.2">
      <c r="H208" s="234"/>
    </row>
    <row r="209" spans="8:8" x14ac:dyDescent="0.2">
      <c r="H209" s="234"/>
    </row>
    <row r="210" spans="8:8" x14ac:dyDescent="0.2">
      <c r="H210" s="234"/>
    </row>
    <row r="211" spans="8:8" x14ac:dyDescent="0.2">
      <c r="H211" s="234"/>
    </row>
    <row r="212" spans="8:8" x14ac:dyDescent="0.2">
      <c r="H212" s="234"/>
    </row>
    <row r="213" spans="8:8" x14ac:dyDescent="0.2">
      <c r="H213" s="234"/>
    </row>
    <row r="214" spans="8:8" x14ac:dyDescent="0.2">
      <c r="H214" s="234"/>
    </row>
    <row r="215" spans="8:8" x14ac:dyDescent="0.2">
      <c r="H215" s="234"/>
    </row>
    <row r="216" spans="8:8" x14ac:dyDescent="0.2">
      <c r="H216" s="234"/>
    </row>
    <row r="217" spans="8:8" x14ac:dyDescent="0.2">
      <c r="H217" s="234"/>
    </row>
    <row r="218" spans="8:8" x14ac:dyDescent="0.2">
      <c r="H218" s="234"/>
    </row>
    <row r="219" spans="8:8" x14ac:dyDescent="0.2">
      <c r="H219" s="234"/>
    </row>
    <row r="220" spans="8:8" x14ac:dyDescent="0.2">
      <c r="H220" s="234"/>
    </row>
    <row r="221" spans="8:8" x14ac:dyDescent="0.2">
      <c r="H221" s="234"/>
    </row>
    <row r="222" spans="8:8" x14ac:dyDescent="0.2">
      <c r="H222" s="234"/>
    </row>
    <row r="223" spans="8:8" x14ac:dyDescent="0.2">
      <c r="H223" s="234"/>
    </row>
    <row r="224" spans="8:8" x14ac:dyDescent="0.2">
      <c r="H224" s="234"/>
    </row>
    <row r="225" spans="8:8" x14ac:dyDescent="0.2">
      <c r="H225" s="234"/>
    </row>
    <row r="226" spans="8:8" x14ac:dyDescent="0.2">
      <c r="H226" s="234"/>
    </row>
    <row r="227" spans="8:8" x14ac:dyDescent="0.2">
      <c r="H227" s="234"/>
    </row>
    <row r="228" spans="8:8" x14ac:dyDescent="0.2">
      <c r="H228" s="234"/>
    </row>
    <row r="229" spans="8:8" x14ac:dyDescent="0.2">
      <c r="H229" s="234"/>
    </row>
    <row r="230" spans="8:8" x14ac:dyDescent="0.2">
      <c r="H230" s="234"/>
    </row>
    <row r="231" spans="8:8" x14ac:dyDescent="0.2">
      <c r="H231" s="234"/>
    </row>
    <row r="232" spans="8:8" x14ac:dyDescent="0.2">
      <c r="H232" s="234"/>
    </row>
    <row r="233" spans="8:8" x14ac:dyDescent="0.2">
      <c r="H233" s="234"/>
    </row>
    <row r="234" spans="8:8" x14ac:dyDescent="0.2">
      <c r="H234" s="234"/>
    </row>
    <row r="235" spans="8:8" x14ac:dyDescent="0.2">
      <c r="H235" s="234"/>
    </row>
    <row r="236" spans="8:8" x14ac:dyDescent="0.2">
      <c r="H236" s="234"/>
    </row>
    <row r="237" spans="8:8" x14ac:dyDescent="0.2">
      <c r="H237" s="234"/>
    </row>
    <row r="238" spans="8:8" x14ac:dyDescent="0.2">
      <c r="H238" s="234"/>
    </row>
    <row r="239" spans="8:8" x14ac:dyDescent="0.2">
      <c r="H239" s="234"/>
    </row>
    <row r="240" spans="8:8" x14ac:dyDescent="0.2">
      <c r="H240" s="234"/>
    </row>
    <row r="241" spans="8:8" x14ac:dyDescent="0.2">
      <c r="H241" s="234"/>
    </row>
    <row r="242" spans="8:8" x14ac:dyDescent="0.2">
      <c r="H242" s="234"/>
    </row>
    <row r="243" spans="8:8" x14ac:dyDescent="0.2">
      <c r="H243" s="234"/>
    </row>
    <row r="244" spans="8:8" x14ac:dyDescent="0.2">
      <c r="H244" s="234"/>
    </row>
    <row r="245" spans="8:8" x14ac:dyDescent="0.2">
      <c r="H245" s="234"/>
    </row>
    <row r="246" spans="8:8" x14ac:dyDescent="0.2">
      <c r="H246" s="234"/>
    </row>
    <row r="247" spans="8:8" x14ac:dyDescent="0.2">
      <c r="H247" s="234"/>
    </row>
    <row r="248" spans="8:8" x14ac:dyDescent="0.2">
      <c r="H248" s="234"/>
    </row>
    <row r="249" spans="8:8" x14ac:dyDescent="0.2">
      <c r="H249" s="234"/>
    </row>
    <row r="250" spans="8:8" x14ac:dyDescent="0.2">
      <c r="H250" s="234"/>
    </row>
    <row r="251" spans="8:8" x14ac:dyDescent="0.2">
      <c r="H251" s="234"/>
    </row>
    <row r="252" spans="8:8" x14ac:dyDescent="0.2">
      <c r="H252" s="234"/>
    </row>
    <row r="253" spans="8:8" x14ac:dyDescent="0.2">
      <c r="H253" s="234"/>
    </row>
    <row r="254" spans="8:8" x14ac:dyDescent="0.2">
      <c r="H254" s="234"/>
    </row>
    <row r="255" spans="8:8" x14ac:dyDescent="0.2">
      <c r="H255" s="234"/>
    </row>
    <row r="256" spans="8:8" x14ac:dyDescent="0.2">
      <c r="H256" s="234"/>
    </row>
    <row r="257" spans="8:8" x14ac:dyDescent="0.2">
      <c r="H257" s="234"/>
    </row>
    <row r="258" spans="8:8" x14ac:dyDescent="0.2">
      <c r="H258" s="234"/>
    </row>
    <row r="259" spans="8:8" x14ac:dyDescent="0.2">
      <c r="H259" s="234"/>
    </row>
    <row r="260" spans="8:8" x14ac:dyDescent="0.2">
      <c r="H260" s="234"/>
    </row>
    <row r="261" spans="8:8" x14ac:dyDescent="0.2">
      <c r="H261" s="234"/>
    </row>
    <row r="262" spans="8:8" x14ac:dyDescent="0.2">
      <c r="H262" s="234"/>
    </row>
    <row r="263" spans="8:8" x14ac:dyDescent="0.2">
      <c r="H263" s="234"/>
    </row>
    <row r="264" spans="8:8" x14ac:dyDescent="0.2">
      <c r="H264" s="234"/>
    </row>
    <row r="265" spans="8:8" x14ac:dyDescent="0.2">
      <c r="H265" s="234"/>
    </row>
    <row r="266" spans="8:8" x14ac:dyDescent="0.2">
      <c r="H266" s="234"/>
    </row>
    <row r="267" spans="8:8" x14ac:dyDescent="0.2">
      <c r="H267" s="234"/>
    </row>
    <row r="268" spans="8:8" x14ac:dyDescent="0.2">
      <c r="H268" s="234"/>
    </row>
    <row r="269" spans="8:8" x14ac:dyDescent="0.2">
      <c r="H269" s="234"/>
    </row>
    <row r="270" spans="8:8" x14ac:dyDescent="0.2">
      <c r="H270" s="234"/>
    </row>
    <row r="271" spans="8:8" x14ac:dyDescent="0.2">
      <c r="H271" s="234"/>
    </row>
    <row r="272" spans="8:8" x14ac:dyDescent="0.2">
      <c r="H272" s="234"/>
    </row>
    <row r="273" spans="8:8" x14ac:dyDescent="0.2">
      <c r="H273" s="234"/>
    </row>
    <row r="274" spans="8:8" x14ac:dyDescent="0.2">
      <c r="H274" s="234"/>
    </row>
    <row r="275" spans="8:8" x14ac:dyDescent="0.2">
      <c r="H275" s="234"/>
    </row>
    <row r="276" spans="8:8" x14ac:dyDescent="0.2">
      <c r="H276" s="234"/>
    </row>
    <row r="277" spans="8:8" x14ac:dyDescent="0.2">
      <c r="H277" s="234"/>
    </row>
    <row r="278" spans="8:8" x14ac:dyDescent="0.2">
      <c r="H278" s="234"/>
    </row>
    <row r="279" spans="8:8" x14ac:dyDescent="0.2">
      <c r="H279" s="234"/>
    </row>
    <row r="280" spans="8:8" x14ac:dyDescent="0.2">
      <c r="H280" s="234"/>
    </row>
    <row r="281" spans="8:8" x14ac:dyDescent="0.2">
      <c r="H281" s="234"/>
    </row>
    <row r="282" spans="8:8" x14ac:dyDescent="0.2">
      <c r="H282" s="234"/>
    </row>
    <row r="283" spans="8:8" x14ac:dyDescent="0.2">
      <c r="H283" s="234"/>
    </row>
    <row r="284" spans="8:8" x14ac:dyDescent="0.2">
      <c r="H284" s="234"/>
    </row>
    <row r="285" spans="8:8" x14ac:dyDescent="0.2">
      <c r="H285" s="234"/>
    </row>
    <row r="286" spans="8:8" x14ac:dyDescent="0.2">
      <c r="H286" s="234"/>
    </row>
    <row r="287" spans="8:8" x14ac:dyDescent="0.2">
      <c r="H287" s="234"/>
    </row>
    <row r="288" spans="8:8" x14ac:dyDescent="0.2">
      <c r="H288" s="234"/>
    </row>
    <row r="289" spans="8:8" x14ac:dyDescent="0.2">
      <c r="H289" s="234"/>
    </row>
    <row r="290" spans="8:8" x14ac:dyDescent="0.2">
      <c r="H290" s="234"/>
    </row>
    <row r="291" spans="8:8" x14ac:dyDescent="0.2">
      <c r="H291" s="234"/>
    </row>
    <row r="292" spans="8:8" x14ac:dyDescent="0.2">
      <c r="H292" s="234"/>
    </row>
    <row r="293" spans="8:8" x14ac:dyDescent="0.2">
      <c r="H293" s="234"/>
    </row>
    <row r="294" spans="8:8" x14ac:dyDescent="0.2">
      <c r="H294" s="234"/>
    </row>
    <row r="295" spans="8:8" x14ac:dyDescent="0.2">
      <c r="H295" s="234"/>
    </row>
    <row r="296" spans="8:8" x14ac:dyDescent="0.2">
      <c r="H296" s="234"/>
    </row>
    <row r="297" spans="8:8" x14ac:dyDescent="0.2">
      <c r="H297" s="234"/>
    </row>
    <row r="298" spans="8:8" x14ac:dyDescent="0.2">
      <c r="H298" s="234"/>
    </row>
    <row r="299" spans="8:8" x14ac:dyDescent="0.2">
      <c r="H299" s="234"/>
    </row>
    <row r="300" spans="8:8" x14ac:dyDescent="0.2">
      <c r="H300" s="234"/>
    </row>
    <row r="301" spans="8:8" x14ac:dyDescent="0.2">
      <c r="H301" s="234"/>
    </row>
    <row r="302" spans="8:8" x14ac:dyDescent="0.2">
      <c r="H302" s="234"/>
    </row>
    <row r="303" spans="8:8" x14ac:dyDescent="0.2">
      <c r="H303" s="234"/>
    </row>
    <row r="304" spans="8:8" x14ac:dyDescent="0.2">
      <c r="H304" s="234"/>
    </row>
    <row r="305" spans="8:8" x14ac:dyDescent="0.2">
      <c r="H305" s="234"/>
    </row>
    <row r="306" spans="8:8" x14ac:dyDescent="0.2">
      <c r="H306" s="234"/>
    </row>
    <row r="307" spans="8:8" x14ac:dyDescent="0.2">
      <c r="H307" s="234"/>
    </row>
    <row r="308" spans="8:8" x14ac:dyDescent="0.2">
      <c r="H308" s="234"/>
    </row>
    <row r="309" spans="8:8" x14ac:dyDescent="0.2">
      <c r="H309" s="234"/>
    </row>
    <row r="310" spans="8:8" x14ac:dyDescent="0.2">
      <c r="H310" s="234"/>
    </row>
    <row r="311" spans="8:8" x14ac:dyDescent="0.2">
      <c r="H311" s="234"/>
    </row>
    <row r="312" spans="8:8" x14ac:dyDescent="0.2">
      <c r="H312" s="234"/>
    </row>
    <row r="313" spans="8:8" x14ac:dyDescent="0.2">
      <c r="H313" s="234"/>
    </row>
    <row r="314" spans="8:8" x14ac:dyDescent="0.2">
      <c r="H314" s="234"/>
    </row>
    <row r="315" spans="8:8" x14ac:dyDescent="0.2">
      <c r="H315" s="234"/>
    </row>
    <row r="316" spans="8:8" x14ac:dyDescent="0.2">
      <c r="H316" s="234"/>
    </row>
    <row r="317" spans="8:8" x14ac:dyDescent="0.2">
      <c r="H317" s="234"/>
    </row>
    <row r="318" spans="8:8" x14ac:dyDescent="0.2">
      <c r="H318" s="234"/>
    </row>
    <row r="319" spans="8:8" x14ac:dyDescent="0.2">
      <c r="H319" s="234"/>
    </row>
    <row r="320" spans="8:8" x14ac:dyDescent="0.2">
      <c r="H320" s="234"/>
    </row>
    <row r="321" spans="8:8" x14ac:dyDescent="0.2">
      <c r="H321" s="234"/>
    </row>
    <row r="322" spans="8:8" x14ac:dyDescent="0.2">
      <c r="H322" s="234"/>
    </row>
    <row r="323" spans="8:8" x14ac:dyDescent="0.2">
      <c r="H323" s="234"/>
    </row>
    <row r="324" spans="8:8" x14ac:dyDescent="0.2">
      <c r="H324" s="234"/>
    </row>
    <row r="325" spans="8:8" x14ac:dyDescent="0.2">
      <c r="H325" s="234"/>
    </row>
    <row r="326" spans="8:8" x14ac:dyDescent="0.2">
      <c r="H326" s="234"/>
    </row>
    <row r="327" spans="8:8" x14ac:dyDescent="0.2">
      <c r="H327" s="234"/>
    </row>
    <row r="328" spans="8:8" x14ac:dyDescent="0.2">
      <c r="H328" s="234"/>
    </row>
    <row r="329" spans="8:8" x14ac:dyDescent="0.2">
      <c r="H329" s="234"/>
    </row>
    <row r="330" spans="8:8" x14ac:dyDescent="0.2">
      <c r="H330" s="234"/>
    </row>
    <row r="331" spans="8:8" x14ac:dyDescent="0.2">
      <c r="H331" s="234"/>
    </row>
    <row r="332" spans="8:8" x14ac:dyDescent="0.2">
      <c r="H332" s="234"/>
    </row>
    <row r="333" spans="8:8" x14ac:dyDescent="0.2">
      <c r="H333" s="234"/>
    </row>
    <row r="334" spans="8:8" x14ac:dyDescent="0.2">
      <c r="H334" s="234"/>
    </row>
    <row r="335" spans="8:8" x14ac:dyDescent="0.2">
      <c r="H335" s="234"/>
    </row>
    <row r="336" spans="8:8" x14ac:dyDescent="0.2">
      <c r="H336" s="234"/>
    </row>
    <row r="337" spans="8:8" x14ac:dyDescent="0.2">
      <c r="H337" s="234"/>
    </row>
    <row r="338" spans="8:8" x14ac:dyDescent="0.2">
      <c r="H338" s="234"/>
    </row>
    <row r="339" spans="8:8" x14ac:dyDescent="0.2">
      <c r="H339" s="234"/>
    </row>
    <row r="340" spans="8:8" x14ac:dyDescent="0.2">
      <c r="H340" s="234"/>
    </row>
    <row r="341" spans="8:8" x14ac:dyDescent="0.2">
      <c r="H341" s="234"/>
    </row>
    <row r="342" spans="8:8" x14ac:dyDescent="0.2">
      <c r="H342" s="234"/>
    </row>
    <row r="343" spans="8:8" x14ac:dyDescent="0.2">
      <c r="H343" s="234"/>
    </row>
    <row r="344" spans="8:8" x14ac:dyDescent="0.2">
      <c r="H344" s="234"/>
    </row>
    <row r="345" spans="8:8" x14ac:dyDescent="0.2">
      <c r="H345" s="234"/>
    </row>
    <row r="346" spans="8:8" x14ac:dyDescent="0.2">
      <c r="H346" s="234"/>
    </row>
    <row r="347" spans="8:8" x14ac:dyDescent="0.2">
      <c r="H347" s="234"/>
    </row>
    <row r="348" spans="8:8" x14ac:dyDescent="0.2">
      <c r="H348" s="234"/>
    </row>
    <row r="349" spans="8:8" x14ac:dyDescent="0.2">
      <c r="H349" s="234"/>
    </row>
    <row r="350" spans="8:8" x14ac:dyDescent="0.2">
      <c r="H350" s="234"/>
    </row>
    <row r="351" spans="8:8" x14ac:dyDescent="0.2">
      <c r="H351" s="234"/>
    </row>
    <row r="352" spans="8:8" x14ac:dyDescent="0.2">
      <c r="H352" s="234"/>
    </row>
    <row r="353" spans="8:8" x14ac:dyDescent="0.2">
      <c r="H353" s="234"/>
    </row>
    <row r="354" spans="8:8" x14ac:dyDescent="0.2">
      <c r="H354" s="234"/>
    </row>
    <row r="355" spans="8:8" x14ac:dyDescent="0.2">
      <c r="H355" s="234"/>
    </row>
    <row r="356" spans="8:8" x14ac:dyDescent="0.2">
      <c r="H356" s="234"/>
    </row>
    <row r="357" spans="8:8" x14ac:dyDescent="0.2">
      <c r="H357" s="234"/>
    </row>
    <row r="358" spans="8:8" x14ac:dyDescent="0.2">
      <c r="H358" s="234"/>
    </row>
    <row r="359" spans="8:8" x14ac:dyDescent="0.2">
      <c r="H359" s="234"/>
    </row>
    <row r="360" spans="8:8" x14ac:dyDescent="0.2">
      <c r="H360" s="234"/>
    </row>
    <row r="361" spans="8:8" x14ac:dyDescent="0.2">
      <c r="H361" s="234"/>
    </row>
    <row r="362" spans="8:8" x14ac:dyDescent="0.2">
      <c r="H362" s="234"/>
    </row>
    <row r="363" spans="8:8" x14ac:dyDescent="0.2">
      <c r="H363" s="234"/>
    </row>
    <row r="364" spans="8:8" x14ac:dyDescent="0.2">
      <c r="H364" s="234"/>
    </row>
    <row r="365" spans="8:8" x14ac:dyDescent="0.2">
      <c r="H365" s="234"/>
    </row>
    <row r="366" spans="8:8" x14ac:dyDescent="0.2">
      <c r="H366" s="234"/>
    </row>
    <row r="367" spans="8:8" x14ac:dyDescent="0.2">
      <c r="H367" s="234"/>
    </row>
    <row r="368" spans="8:8" x14ac:dyDescent="0.2">
      <c r="H368" s="234"/>
    </row>
    <row r="369" spans="8:8" x14ac:dyDescent="0.2">
      <c r="H369" s="234"/>
    </row>
    <row r="370" spans="8:8" x14ac:dyDescent="0.2">
      <c r="H370" s="234"/>
    </row>
    <row r="371" spans="8:8" x14ac:dyDescent="0.2">
      <c r="H371" s="234"/>
    </row>
    <row r="372" spans="8:8" x14ac:dyDescent="0.2">
      <c r="H372" s="234"/>
    </row>
    <row r="373" spans="8:8" x14ac:dyDescent="0.2">
      <c r="H373" s="234"/>
    </row>
    <row r="374" spans="8:8" x14ac:dyDescent="0.2">
      <c r="H374" s="234"/>
    </row>
    <row r="375" spans="8:8" x14ac:dyDescent="0.2">
      <c r="H375" s="234"/>
    </row>
    <row r="376" spans="8:8" x14ac:dyDescent="0.2">
      <c r="H376" s="234"/>
    </row>
    <row r="377" spans="8:8" x14ac:dyDescent="0.2">
      <c r="H377" s="234"/>
    </row>
    <row r="378" spans="8:8" x14ac:dyDescent="0.2">
      <c r="H378" s="234"/>
    </row>
    <row r="379" spans="8:8" x14ac:dyDescent="0.2">
      <c r="H379" s="234"/>
    </row>
    <row r="380" spans="8:8" x14ac:dyDescent="0.2">
      <c r="H380" s="234"/>
    </row>
    <row r="381" spans="8:8" x14ac:dyDescent="0.2">
      <c r="H381" s="234"/>
    </row>
    <row r="382" spans="8:8" x14ac:dyDescent="0.2">
      <c r="H382" s="234"/>
    </row>
    <row r="383" spans="8:8" x14ac:dyDescent="0.2">
      <c r="H383" s="234"/>
    </row>
    <row r="384" spans="8:8" x14ac:dyDescent="0.2">
      <c r="H384" s="234"/>
    </row>
    <row r="385" spans="8:8" x14ac:dyDescent="0.2">
      <c r="H385" s="234"/>
    </row>
    <row r="386" spans="8:8" x14ac:dyDescent="0.2">
      <c r="H386" s="234"/>
    </row>
    <row r="387" spans="8:8" x14ac:dyDescent="0.2">
      <c r="H387" s="234"/>
    </row>
    <row r="388" spans="8:8" x14ac:dyDescent="0.2">
      <c r="H388" s="234"/>
    </row>
    <row r="389" spans="8:8" x14ac:dyDescent="0.2">
      <c r="H389" s="234"/>
    </row>
    <row r="390" spans="8:8" x14ac:dyDescent="0.2">
      <c r="H390" s="234"/>
    </row>
    <row r="391" spans="8:8" x14ac:dyDescent="0.2">
      <c r="H391" s="234"/>
    </row>
    <row r="392" spans="8:8" x14ac:dyDescent="0.2">
      <c r="H392" s="234"/>
    </row>
    <row r="393" spans="8:8" x14ac:dyDescent="0.2">
      <c r="H393" s="234"/>
    </row>
    <row r="394" spans="8:8" x14ac:dyDescent="0.2">
      <c r="H394" s="234"/>
    </row>
    <row r="395" spans="8:8" x14ac:dyDescent="0.2">
      <c r="H395" s="234"/>
    </row>
    <row r="396" spans="8:8" x14ac:dyDescent="0.2">
      <c r="H396" s="234"/>
    </row>
    <row r="397" spans="8:8" x14ac:dyDescent="0.2">
      <c r="H397" s="234"/>
    </row>
  </sheetData>
  <pageMargins left="0.7" right="0.7" top="0.75" bottom="0.75" header="0.3" footer="0.3"/>
  <pageSetup orientation="portrait" r:id="rId1"/>
  <ignoredErrors>
    <ignoredError sqref="H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AB26-2D59-9A4D-907E-4D071E505D94}">
  <dimension ref="A1:J114"/>
  <sheetViews>
    <sheetView topLeftCell="A35" zoomScale="151" zoomScaleNormal="151" workbookViewId="0">
      <selection activeCell="D55" sqref="D55"/>
    </sheetView>
  </sheetViews>
  <sheetFormatPr baseColWidth="10" defaultColWidth="13.1640625" defaultRowHeight="15" x14ac:dyDescent="0.2"/>
  <cols>
    <col min="1" max="1" width="43.83203125" style="218" customWidth="1"/>
    <col min="2" max="2" width="24.5" style="218" customWidth="1"/>
    <col min="3" max="3" width="16.5" style="218" customWidth="1"/>
    <col min="4" max="4" width="17" style="218" bestFit="1" customWidth="1"/>
    <col min="5" max="5" width="29.1640625" style="218" customWidth="1"/>
    <col min="6" max="6" width="19.33203125" style="218" customWidth="1"/>
    <col min="7" max="7" width="16.6640625" style="218" customWidth="1"/>
    <col min="8" max="8" width="16.5" style="218" customWidth="1"/>
    <col min="9" max="9" width="17.33203125" style="218" customWidth="1"/>
    <col min="10" max="10" width="14.83203125" style="218" customWidth="1"/>
    <col min="11" max="11" width="15.5" style="218" customWidth="1"/>
    <col min="12" max="12" width="15.33203125" style="218" customWidth="1"/>
    <col min="13" max="13" width="16.1640625" style="218" customWidth="1"/>
    <col min="14" max="14" width="16" style="218" customWidth="1"/>
    <col min="15" max="16384" width="13.1640625" style="218"/>
  </cols>
  <sheetData>
    <row r="1" spans="1:6" x14ac:dyDescent="0.2">
      <c r="A1" s="219"/>
    </row>
    <row r="3" spans="1:6" x14ac:dyDescent="0.2">
      <c r="A3" s="1015" t="s">
        <v>1081</v>
      </c>
      <c r="B3" s="1016"/>
      <c r="C3" s="1016"/>
      <c r="D3" s="1016"/>
      <c r="E3" s="1016"/>
      <c r="F3" s="1017"/>
    </row>
    <row r="4" spans="1:6" ht="16" x14ac:dyDescent="0.2">
      <c r="A4" s="306" t="s">
        <v>329</v>
      </c>
      <c r="B4" s="308" t="s">
        <v>330</v>
      </c>
      <c r="C4" s="311" t="s">
        <v>741</v>
      </c>
      <c r="D4" s="308" t="s">
        <v>331</v>
      </c>
      <c r="E4" s="308" t="s">
        <v>332</v>
      </c>
      <c r="F4" s="308" t="s">
        <v>333</v>
      </c>
    </row>
    <row r="5" spans="1:6" x14ac:dyDescent="0.2">
      <c r="A5" s="811" t="s">
        <v>334</v>
      </c>
      <c r="B5" s="812">
        <v>27844.05</v>
      </c>
      <c r="C5" s="813">
        <v>25299.02</v>
      </c>
      <c r="D5" s="812">
        <v>23278.51</v>
      </c>
      <c r="E5" s="812">
        <v>21322.74</v>
      </c>
      <c r="F5" s="812">
        <v>20169.240000000002</v>
      </c>
    </row>
    <row r="6" spans="1:6" x14ac:dyDescent="0.2">
      <c r="A6" s="811" t="s">
        <v>335</v>
      </c>
      <c r="B6" s="812">
        <v>3628.99</v>
      </c>
      <c r="C6" s="813">
        <v>3358.1099999999997</v>
      </c>
      <c r="D6" s="812">
        <v>2873.94</v>
      </c>
      <c r="E6" s="812">
        <v>2422.31</v>
      </c>
      <c r="F6" s="812">
        <v>1996.86</v>
      </c>
    </row>
    <row r="7" spans="1:6" x14ac:dyDescent="0.2">
      <c r="A7" s="811" t="s">
        <v>336</v>
      </c>
      <c r="B7" s="812">
        <v>5460</v>
      </c>
      <c r="C7" s="813">
        <f>5077.92</f>
        <v>5077.92</v>
      </c>
      <c r="D7" s="812">
        <v>4313.7700000000004</v>
      </c>
      <c r="E7" s="812">
        <v>3648.22</v>
      </c>
      <c r="F7" s="812">
        <v>2994.99</v>
      </c>
    </row>
    <row r="8" spans="1:6" x14ac:dyDescent="0.2">
      <c r="A8" s="811" t="s">
        <v>1082</v>
      </c>
      <c r="B8" s="812">
        <v>452.47</v>
      </c>
      <c r="C8" s="813">
        <v>411.11</v>
      </c>
      <c r="D8" s="812">
        <v>378.28</v>
      </c>
      <c r="E8" s="812">
        <v>346.49</v>
      </c>
      <c r="F8" s="812">
        <v>327.75</v>
      </c>
    </row>
    <row r="9" spans="1:6" x14ac:dyDescent="0.2">
      <c r="A9" s="811" t="s">
        <v>1083</v>
      </c>
      <c r="B9" s="812">
        <v>139.22</v>
      </c>
      <c r="C9" s="813">
        <v>126.5</v>
      </c>
      <c r="D9" s="812">
        <v>116.39</v>
      </c>
      <c r="E9" s="812">
        <v>106.61</v>
      </c>
      <c r="F9" s="812">
        <v>100.85</v>
      </c>
    </row>
    <row r="10" spans="1:6" x14ac:dyDescent="0.2">
      <c r="A10" s="811" t="s">
        <v>338</v>
      </c>
      <c r="B10" s="812">
        <f>B5/12+B9/12</f>
        <v>2331.9391666666666</v>
      </c>
      <c r="C10" s="812">
        <f t="shared" ref="C10:F10" si="0">C5/12+C9/12</f>
        <v>2118.7933333333331</v>
      </c>
      <c r="D10" s="812">
        <f t="shared" si="0"/>
        <v>1949.575</v>
      </c>
      <c r="E10" s="812">
        <f t="shared" si="0"/>
        <v>1785.7791666666669</v>
      </c>
      <c r="F10" s="812">
        <f t="shared" si="0"/>
        <v>1689.1741666666669</v>
      </c>
    </row>
    <row r="11" spans="1:6" x14ac:dyDescent="0.2">
      <c r="A11" s="811"/>
      <c r="B11" s="308">
        <f>SUM(B5:B10)</f>
        <v>39856.669166666667</v>
      </c>
      <c r="C11" s="311">
        <f t="shared" ref="C11:F11" si="1">SUM(C5:C10)</f>
        <v>36391.453333333338</v>
      </c>
      <c r="D11" s="308">
        <f t="shared" si="1"/>
        <v>32910.464999999997</v>
      </c>
      <c r="E11" s="308">
        <f t="shared" si="1"/>
        <v>29632.149166666673</v>
      </c>
      <c r="F11" s="308">
        <f t="shared" si="1"/>
        <v>27278.86416666667</v>
      </c>
    </row>
    <row r="12" spans="1:6" x14ac:dyDescent="0.2">
      <c r="A12" s="811" t="s">
        <v>339</v>
      </c>
      <c r="B12" s="812">
        <f>+B11*0.238</f>
        <v>9485.8872616666667</v>
      </c>
      <c r="C12" s="813">
        <f>(+C11*0.238)</f>
        <v>8661.1658933333347</v>
      </c>
      <c r="D12" s="812">
        <f>+D11*0.238</f>
        <v>7832.690669999999</v>
      </c>
      <c r="E12" s="812">
        <f>+E11*0.238</f>
        <v>7052.4515016666683</v>
      </c>
      <c r="F12" s="812">
        <f>+F11*0.238</f>
        <v>6492.3696716666673</v>
      </c>
    </row>
    <row r="13" spans="1:6" x14ac:dyDescent="0.2">
      <c r="A13" s="811" t="s">
        <v>38</v>
      </c>
      <c r="B13" s="812">
        <f>+B11*0.0288</f>
        <v>1147.8720719999999</v>
      </c>
      <c r="C13" s="813">
        <f>(+C11*0.0288)</f>
        <v>1048.0738560000002</v>
      </c>
      <c r="D13" s="812">
        <f>+D11*0.0288</f>
        <v>947.82139199999983</v>
      </c>
      <c r="E13" s="812">
        <f>+E11*0.0288</f>
        <v>853.40589600000021</v>
      </c>
      <c r="F13" s="812">
        <f>+F11*0.0288</f>
        <v>785.63128800000004</v>
      </c>
    </row>
    <row r="14" spans="1:6" x14ac:dyDescent="0.2">
      <c r="A14" s="811" t="s">
        <v>340</v>
      </c>
      <c r="B14" s="812">
        <f>+B11*0.085</f>
        <v>3387.8168791666667</v>
      </c>
      <c r="C14" s="813">
        <f>(+C11*0.085)</f>
        <v>3093.2735333333339</v>
      </c>
      <c r="D14" s="812">
        <f>+D11*0.085</f>
        <v>2797.389525</v>
      </c>
      <c r="E14" s="812">
        <f>+E11*0.085</f>
        <v>2518.7326791666674</v>
      </c>
      <c r="F14" s="812">
        <f>+F11*0.085</f>
        <v>2318.7034541666671</v>
      </c>
    </row>
    <row r="15" spans="1:6" x14ac:dyDescent="0.2">
      <c r="A15" s="306" t="s">
        <v>29</v>
      </c>
      <c r="B15" s="308">
        <f t="shared" ref="B15:F15" si="2">SUM(B11:B14)</f>
        <v>53878.245379500004</v>
      </c>
      <c r="C15" s="311">
        <f t="shared" si="2"/>
        <v>49193.966616000012</v>
      </c>
      <c r="D15" s="308">
        <f t="shared" si="2"/>
        <v>44488.36658699999</v>
      </c>
      <c r="E15" s="308">
        <f t="shared" si="2"/>
        <v>40056.739243500007</v>
      </c>
      <c r="F15" s="308">
        <f t="shared" si="2"/>
        <v>36875.568580500003</v>
      </c>
    </row>
    <row r="16" spans="1:6" x14ac:dyDescent="0.2">
      <c r="A16" s="308"/>
      <c r="B16" s="218">
        <f t="shared" ref="B16:E16" si="3">+B5/12</f>
        <v>2320.3375000000001</v>
      </c>
      <c r="C16" s="218">
        <f t="shared" si="3"/>
        <v>2108.2516666666666</v>
      </c>
      <c r="D16" s="218">
        <f t="shared" si="3"/>
        <v>1939.8758333333333</v>
      </c>
      <c r="E16" s="218">
        <f t="shared" si="3"/>
        <v>1776.8950000000002</v>
      </c>
      <c r="F16" s="218">
        <f>+F5/12</f>
        <v>1680.7700000000002</v>
      </c>
    </row>
    <row r="17" spans="1:8" x14ac:dyDescent="0.2">
      <c r="C17" s="228"/>
      <c r="F17" s="310"/>
    </row>
    <row r="18" spans="1:8" x14ac:dyDescent="0.2">
      <c r="A18" s="222" t="s">
        <v>1084</v>
      </c>
      <c r="B18" s="232">
        <f>+F11+E11+D11+C11+(B11*2)</f>
        <v>205926.27000000002</v>
      </c>
      <c r="C18" s="228"/>
      <c r="F18" s="310"/>
    </row>
    <row r="19" spans="1:8" x14ac:dyDescent="0.2">
      <c r="A19" s="222" t="s">
        <v>346</v>
      </c>
      <c r="B19" s="232">
        <f>+F12+E12+D12+C12+(B12*2)</f>
        <v>49010.452260000005</v>
      </c>
      <c r="F19" s="310"/>
    </row>
    <row r="20" spans="1:8" x14ac:dyDescent="0.2">
      <c r="A20" s="222" t="s">
        <v>38</v>
      </c>
      <c r="B20" s="232">
        <f>+F13+E13+D13+C13+(B13*2)</f>
        <v>5930.6765759999998</v>
      </c>
      <c r="D20" s="228"/>
      <c r="F20" s="310"/>
    </row>
    <row r="21" spans="1:8" x14ac:dyDescent="0.2">
      <c r="A21" s="222" t="s">
        <v>366</v>
      </c>
      <c r="B21" s="232">
        <f>+F14+E14+D14+C14+(B14*2)</f>
        <v>17503.732950000001</v>
      </c>
      <c r="F21" s="310"/>
    </row>
    <row r="22" spans="1:8" x14ac:dyDescent="0.2">
      <c r="A22" s="221" t="s">
        <v>155</v>
      </c>
      <c r="B22" s="231">
        <f>SUM(B18:B21)</f>
        <v>278371.13178599998</v>
      </c>
      <c r="F22" s="310"/>
    </row>
    <row r="23" spans="1:8" x14ac:dyDescent="0.2">
      <c r="F23" s="310"/>
    </row>
    <row r="24" spans="1:8" x14ac:dyDescent="0.2">
      <c r="F24" s="310"/>
    </row>
    <row r="25" spans="1:8" x14ac:dyDescent="0.2">
      <c r="B25" s="218">
        <f>+B28/12</f>
        <v>3051.8941666666669</v>
      </c>
      <c r="F25" s="310"/>
    </row>
    <row r="26" spans="1:8" x14ac:dyDescent="0.2">
      <c r="A26" s="814" t="s">
        <v>1085</v>
      </c>
      <c r="B26" s="815" t="s">
        <v>1086</v>
      </c>
      <c r="C26" s="219"/>
      <c r="E26" s="228"/>
    </row>
    <row r="27" spans="1:8" x14ac:dyDescent="0.2">
      <c r="A27" s="306" t="s">
        <v>350</v>
      </c>
      <c r="B27" s="219"/>
      <c r="C27" s="219" t="s">
        <v>1087</v>
      </c>
      <c r="D27" s="219" t="s">
        <v>1088</v>
      </c>
      <c r="F27" s="218" t="s">
        <v>1089</v>
      </c>
      <c r="H27" s="218" t="s">
        <v>29</v>
      </c>
    </row>
    <row r="28" spans="1:8" x14ac:dyDescent="0.2">
      <c r="A28" s="811" t="s">
        <v>1090</v>
      </c>
      <c r="B28" s="812">
        <v>36622.730000000003</v>
      </c>
      <c r="C28" s="812">
        <f>+B28*13</f>
        <v>476095.49000000005</v>
      </c>
      <c r="D28" s="230">
        <f>(B28/12*5)+(B28/12*7)*0.7</f>
        <v>30213.752250000005</v>
      </c>
      <c r="E28" s="228"/>
      <c r="F28" s="228">
        <f>B28-36526.68</f>
        <v>96.05000000000291</v>
      </c>
      <c r="G28" s="228">
        <f>(F28/12*5)+(F28/12*7)*0.7</f>
        <v>79.241250000002395</v>
      </c>
      <c r="H28" s="228">
        <f>F28*13+G28</f>
        <v>1327.8912500000401</v>
      </c>
    </row>
    <row r="29" spans="1:8" x14ac:dyDescent="0.2">
      <c r="A29" s="811" t="s">
        <v>348</v>
      </c>
      <c r="B29" s="812">
        <f>38*12</f>
        <v>456</v>
      </c>
      <c r="C29" s="812">
        <f t="shared" ref="C29:C33" si="4">+B29*13</f>
        <v>5928</v>
      </c>
      <c r="D29" s="230">
        <f t="shared" ref="D29:D33" si="5">(B29/12*5)+(B29/12*7)*0.7</f>
        <v>376.2</v>
      </c>
      <c r="E29" s="228"/>
    </row>
    <row r="30" spans="1:8" x14ac:dyDescent="0.2">
      <c r="A30" s="811" t="s">
        <v>349</v>
      </c>
      <c r="B30" s="812">
        <v>1411.8600000000001</v>
      </c>
      <c r="C30" s="812">
        <f t="shared" si="4"/>
        <v>18354.18</v>
      </c>
      <c r="D30" s="230">
        <f t="shared" si="5"/>
        <v>1164.7845000000002</v>
      </c>
      <c r="E30" s="228">
        <f>+B28-F65</f>
        <v>5263.1600000000035</v>
      </c>
    </row>
    <row r="31" spans="1:8" x14ac:dyDescent="0.2">
      <c r="A31" s="811" t="s">
        <v>1082</v>
      </c>
      <c r="B31" s="812">
        <v>595.12</v>
      </c>
      <c r="C31" s="812">
        <f t="shared" si="4"/>
        <v>7736.56</v>
      </c>
      <c r="D31" s="230">
        <f t="shared" si="5"/>
        <v>490.97399999999993</v>
      </c>
      <c r="E31" s="228"/>
    </row>
    <row r="32" spans="1:8" x14ac:dyDescent="0.2">
      <c r="A32" s="811" t="s">
        <v>337</v>
      </c>
      <c r="B32" s="812">
        <v>183.11</v>
      </c>
      <c r="C32" s="812">
        <f t="shared" si="4"/>
        <v>2380.4300000000003</v>
      </c>
      <c r="D32" s="230">
        <f t="shared" si="5"/>
        <v>151.06574999999998</v>
      </c>
      <c r="E32" s="228"/>
    </row>
    <row r="33" spans="1:8" x14ac:dyDescent="0.2">
      <c r="A33" s="811" t="s">
        <v>338</v>
      </c>
      <c r="B33" s="812">
        <f>B28/12+B29/12+B30/12+B32/12</f>
        <v>3222.8083333333338</v>
      </c>
      <c r="C33" s="812">
        <f t="shared" si="4"/>
        <v>41896.508333333339</v>
      </c>
      <c r="D33" s="230">
        <f t="shared" si="5"/>
        <v>2658.8168750000004</v>
      </c>
      <c r="E33" s="228"/>
    </row>
    <row r="34" spans="1:8" x14ac:dyDescent="0.2">
      <c r="A34" s="811"/>
      <c r="B34" s="308">
        <f>SUM(B28:B33)</f>
        <v>42491.628333333341</v>
      </c>
      <c r="C34" s="308">
        <f>SUM(C28:C33)</f>
        <v>552391.16833333333</v>
      </c>
      <c r="D34" s="308">
        <f>SUM(D28:D33)</f>
        <v>35055.593375000011</v>
      </c>
      <c r="E34" s="308"/>
      <c r="F34" s="228">
        <f>F28</f>
        <v>96.05000000000291</v>
      </c>
      <c r="G34" s="228">
        <f>G28</f>
        <v>79.241250000002395</v>
      </c>
      <c r="H34" s="228">
        <f>H28</f>
        <v>1327.8912500000401</v>
      </c>
    </row>
    <row r="35" spans="1:8" x14ac:dyDescent="0.2">
      <c r="A35" s="811" t="s">
        <v>339</v>
      </c>
      <c r="B35" s="812">
        <f>B34*0.238</f>
        <v>10113.007543333335</v>
      </c>
      <c r="C35" s="812">
        <f>C34*0.238</f>
        <v>131469.09806333334</v>
      </c>
      <c r="D35" s="812">
        <f>D34*0.238</f>
        <v>8343.2312232500026</v>
      </c>
      <c r="E35" s="812">
        <f t="shared" ref="E35:H35" si="6">E34*0.238</f>
        <v>0</v>
      </c>
      <c r="F35" s="812">
        <f t="shared" si="6"/>
        <v>22.859900000000692</v>
      </c>
      <c r="G35" s="812">
        <f t="shared" si="6"/>
        <v>18.859417500000568</v>
      </c>
      <c r="H35" s="812">
        <f t="shared" si="6"/>
        <v>316.03811750000955</v>
      </c>
    </row>
    <row r="36" spans="1:8" x14ac:dyDescent="0.2">
      <c r="A36" s="811" t="s">
        <v>38</v>
      </c>
      <c r="B36" s="812">
        <f>B34*0.0288</f>
        <v>1223.7588960000003</v>
      </c>
      <c r="C36" s="812">
        <f>C34*0.0288</f>
        <v>15908.865647999999</v>
      </c>
      <c r="D36" s="812">
        <f>D34*0.0288</f>
        <v>1009.6010892000003</v>
      </c>
      <c r="E36" s="812">
        <f t="shared" ref="E36:H36" si="7">E34*0.0288</f>
        <v>0</v>
      </c>
      <c r="F36" s="812">
        <f t="shared" si="7"/>
        <v>2.7662400000000837</v>
      </c>
      <c r="G36" s="812">
        <f t="shared" si="7"/>
        <v>2.2821480000000691</v>
      </c>
      <c r="H36" s="812">
        <f t="shared" si="7"/>
        <v>38.243268000001159</v>
      </c>
    </row>
    <row r="37" spans="1:8" x14ac:dyDescent="0.2">
      <c r="A37" s="811" t="s">
        <v>340</v>
      </c>
      <c r="B37" s="812">
        <f>B34*0.085</f>
        <v>3611.7884083333342</v>
      </c>
      <c r="C37" s="812">
        <f>C34*0.085</f>
        <v>46953.249308333339</v>
      </c>
      <c r="D37" s="812">
        <f>D34*0.085</f>
        <v>2979.7254368750014</v>
      </c>
      <c r="E37" s="812">
        <f t="shared" ref="E37:H37" si="8">E34*0.085</f>
        <v>0</v>
      </c>
      <c r="F37" s="812">
        <f t="shared" si="8"/>
        <v>8.1642500000002478</v>
      </c>
      <c r="G37" s="812">
        <f t="shared" si="8"/>
        <v>6.7355062500002045</v>
      </c>
      <c r="H37" s="812">
        <f t="shared" si="8"/>
        <v>112.87075625000342</v>
      </c>
    </row>
    <row r="38" spans="1:8" x14ac:dyDescent="0.2">
      <c r="A38" s="306" t="s">
        <v>29</v>
      </c>
      <c r="B38" s="816">
        <f>SUM(B34:B37)</f>
        <v>57440.183181000008</v>
      </c>
      <c r="C38" s="816">
        <f>SUM(C34:C37)</f>
        <v>746722.38135300006</v>
      </c>
      <c r="D38" s="816">
        <f>SUM(D34:D37)</f>
        <v>47388.151124325013</v>
      </c>
      <c r="E38" s="816">
        <f t="shared" ref="E38:H38" si="9">SUM(E34:E37)</f>
        <v>0</v>
      </c>
      <c r="F38" s="816">
        <f t="shared" si="9"/>
        <v>129.84039000000394</v>
      </c>
      <c r="G38" s="816">
        <f t="shared" si="9"/>
        <v>107.11832175000323</v>
      </c>
      <c r="H38" s="816">
        <f t="shared" si="9"/>
        <v>1795.0433917500543</v>
      </c>
    </row>
    <row r="39" spans="1:8" x14ac:dyDescent="0.2">
      <c r="C39" s="310"/>
      <c r="D39" s="219"/>
    </row>
    <row r="41" spans="1:8" x14ac:dyDescent="0.2">
      <c r="A41" s="814" t="s">
        <v>1091</v>
      </c>
      <c r="B41" s="815" t="s">
        <v>1086</v>
      </c>
      <c r="C41" s="219"/>
      <c r="D41" s="229"/>
    </row>
    <row r="42" spans="1:8" x14ac:dyDescent="0.2">
      <c r="A42" s="307" t="s">
        <v>347</v>
      </c>
      <c r="C42" s="219" t="s">
        <v>1092</v>
      </c>
      <c r="D42" s="817"/>
      <c r="E42" s="817"/>
      <c r="F42" s="218" t="s">
        <v>1089</v>
      </c>
      <c r="G42" s="218" t="s">
        <v>29</v>
      </c>
    </row>
    <row r="43" spans="1:8" x14ac:dyDescent="0.2">
      <c r="A43" s="818" t="s">
        <v>334</v>
      </c>
      <c r="B43" s="812">
        <v>34037.379999999997</v>
      </c>
      <c r="C43" s="812">
        <f t="shared" ref="C43:C48" si="10">+B43*4</f>
        <v>136149.51999999999</v>
      </c>
      <c r="D43" s="819">
        <f>+B43-F65</f>
        <v>2677.8099999999977</v>
      </c>
      <c r="E43" s="228"/>
      <c r="F43" s="228">
        <f>B43-33953.4</f>
        <v>83.979999999995925</v>
      </c>
      <c r="G43" s="228">
        <f>F43*4</f>
        <v>335.9199999999837</v>
      </c>
    </row>
    <row r="44" spans="1:8" x14ac:dyDescent="0.2">
      <c r="A44" s="818" t="s">
        <v>348</v>
      </c>
      <c r="B44" s="812">
        <v>456</v>
      </c>
      <c r="C44" s="812">
        <f t="shared" si="10"/>
        <v>1824</v>
      </c>
      <c r="D44" s="819"/>
      <c r="E44" s="228"/>
      <c r="F44" s="820"/>
    </row>
    <row r="45" spans="1:8" x14ac:dyDescent="0.2">
      <c r="A45" s="818" t="s">
        <v>349</v>
      </c>
      <c r="B45" s="812">
        <v>1411.8600000000001</v>
      </c>
      <c r="C45" s="812">
        <f t="shared" si="10"/>
        <v>5647.4400000000005</v>
      </c>
      <c r="D45" s="819"/>
      <c r="E45" s="228"/>
    </row>
    <row r="46" spans="1:8" x14ac:dyDescent="0.2">
      <c r="A46" s="811" t="s">
        <v>1082</v>
      </c>
      <c r="B46" s="812">
        <v>553.11</v>
      </c>
      <c r="C46" s="812">
        <f t="shared" si="10"/>
        <v>2212.44</v>
      </c>
      <c r="D46" s="819"/>
      <c r="E46" s="228"/>
    </row>
    <row r="47" spans="1:8" x14ac:dyDescent="0.2">
      <c r="A47" s="818" t="s">
        <v>337</v>
      </c>
      <c r="B47" s="812">
        <v>170.19</v>
      </c>
      <c r="C47" s="812">
        <f t="shared" si="10"/>
        <v>680.76</v>
      </c>
      <c r="D47" s="819"/>
      <c r="E47" s="228"/>
    </row>
    <row r="48" spans="1:8" x14ac:dyDescent="0.2">
      <c r="A48" s="818" t="s">
        <v>338</v>
      </c>
      <c r="B48" s="812">
        <f>B43/12+B44/12+B45/12+B47/12</f>
        <v>3006.2858333333334</v>
      </c>
      <c r="C48" s="812">
        <f t="shared" si="10"/>
        <v>12025.143333333333</v>
      </c>
      <c r="D48" s="819"/>
      <c r="E48" s="228"/>
    </row>
    <row r="49" spans="1:9" x14ac:dyDescent="0.2">
      <c r="A49" s="818"/>
      <c r="B49" s="308">
        <f>SUM(B43:B48)</f>
        <v>39634.825833333336</v>
      </c>
      <c r="C49" s="308">
        <f>SUM(C43:C48)</f>
        <v>158539.30333333334</v>
      </c>
      <c r="D49" s="308"/>
      <c r="E49" s="308"/>
      <c r="F49" s="308">
        <f t="shared" ref="F49:G49" si="11">SUM(F43:F48)</f>
        <v>83.979999999995925</v>
      </c>
      <c r="G49" s="308">
        <f t="shared" si="11"/>
        <v>335.9199999999837</v>
      </c>
    </row>
    <row r="50" spans="1:9" x14ac:dyDescent="0.2">
      <c r="A50" s="818" t="s">
        <v>339</v>
      </c>
      <c r="B50" s="812">
        <f>+B49*0.238</f>
        <v>9433.0885483333332</v>
      </c>
      <c r="C50" s="812">
        <f>+C49*0.238</f>
        <v>37732.354193333333</v>
      </c>
      <c r="D50" s="812"/>
      <c r="E50" s="812"/>
      <c r="F50" s="812">
        <f t="shared" ref="F50:G50" si="12">+F49*0.238</f>
        <v>19.98723999999903</v>
      </c>
      <c r="G50" s="812">
        <f t="shared" si="12"/>
        <v>79.94895999999612</v>
      </c>
    </row>
    <row r="51" spans="1:9" x14ac:dyDescent="0.2">
      <c r="A51" s="818" t="s">
        <v>38</v>
      </c>
      <c r="B51" s="812">
        <f>+B49*0.0288</f>
        <v>1141.482984</v>
      </c>
      <c r="C51" s="812">
        <f>+C49*0.0288</f>
        <v>4565.931936</v>
      </c>
      <c r="D51" s="812"/>
      <c r="E51" s="812"/>
      <c r="F51" s="812">
        <f t="shared" ref="F51:G51" si="13">+F49*0.0288</f>
        <v>2.4186239999998826</v>
      </c>
      <c r="G51" s="812">
        <f t="shared" si="13"/>
        <v>9.6744959999995306</v>
      </c>
    </row>
    <row r="52" spans="1:9" x14ac:dyDescent="0.2">
      <c r="A52" s="818" t="s">
        <v>340</v>
      </c>
      <c r="B52" s="812">
        <f>+B49*0.085</f>
        <v>3368.9601958333337</v>
      </c>
      <c r="C52" s="812">
        <f>+C49*0.085</f>
        <v>13475.840783333335</v>
      </c>
      <c r="D52" s="812"/>
      <c r="E52" s="812"/>
      <c r="F52" s="812">
        <f t="shared" ref="F52:G52" si="14">+F49*0.085</f>
        <v>7.1382999999996546</v>
      </c>
      <c r="G52" s="812">
        <f t="shared" si="14"/>
        <v>28.553199999998618</v>
      </c>
    </row>
    <row r="53" spans="1:9" x14ac:dyDescent="0.2">
      <c r="A53" s="307" t="s">
        <v>29</v>
      </c>
      <c r="B53" s="816">
        <f>SUM(B49:B52)</f>
        <v>53578.357561500008</v>
      </c>
      <c r="C53" s="816">
        <f>SUM(C49:C52)</f>
        <v>214313.43024600003</v>
      </c>
      <c r="D53" s="816"/>
      <c r="E53" s="816"/>
      <c r="F53" s="816">
        <f t="shared" ref="F53:G53" si="15">SUM(F49:F52)</f>
        <v>113.5241639999945</v>
      </c>
      <c r="G53" s="816">
        <f t="shared" si="15"/>
        <v>454.096655999978</v>
      </c>
    </row>
    <row r="54" spans="1:9" x14ac:dyDescent="0.2">
      <c r="C54" s="310"/>
      <c r="D54" s="219"/>
      <c r="E54" s="219"/>
    </row>
    <row r="55" spans="1:9" x14ac:dyDescent="0.2">
      <c r="C55" s="228">
        <f>+B50+B51</f>
        <v>10574.571532333333</v>
      </c>
      <c r="F55" s="220"/>
    </row>
    <row r="56" spans="1:9" x14ac:dyDescent="0.2">
      <c r="A56" s="222" t="s">
        <v>1093</v>
      </c>
      <c r="B56" s="232">
        <f>+C34+C49+D34</f>
        <v>745986.06504166673</v>
      </c>
      <c r="C56" s="228">
        <f>+C55/B49</f>
        <v>0.26679999999999998</v>
      </c>
    </row>
    <row r="57" spans="1:9" x14ac:dyDescent="0.2">
      <c r="A57" s="222" t="s">
        <v>346</v>
      </c>
      <c r="B57" s="232">
        <f>+C35+C50+D35</f>
        <v>177544.68347991668</v>
      </c>
    </row>
    <row r="58" spans="1:9" x14ac:dyDescent="0.2">
      <c r="A58" s="222" t="s">
        <v>38</v>
      </c>
      <c r="B58" s="232">
        <f>+C36+C51+D36</f>
        <v>21484.398673200001</v>
      </c>
    </row>
    <row r="59" spans="1:9" x14ac:dyDescent="0.2">
      <c r="A59" s="222" t="s">
        <v>366</v>
      </c>
      <c r="B59" s="232">
        <f>+C37+C52+D37</f>
        <v>63408.815528541672</v>
      </c>
    </row>
    <row r="60" spans="1:9" x14ac:dyDescent="0.2">
      <c r="A60" s="221" t="s">
        <v>155</v>
      </c>
      <c r="B60" s="231">
        <f>SUM(B56:B59)</f>
        <v>1008423.9627233251</v>
      </c>
      <c r="E60" s="218" t="s">
        <v>742</v>
      </c>
    </row>
    <row r="61" spans="1:9" x14ac:dyDescent="0.2">
      <c r="F61" s="218">
        <f>+F65/12</f>
        <v>2613.2975000000001</v>
      </c>
    </row>
    <row r="63" spans="1:9" x14ac:dyDescent="0.2">
      <c r="A63" s="224" t="s">
        <v>1094</v>
      </c>
      <c r="B63" s="227"/>
      <c r="E63" s="821" t="s">
        <v>1095</v>
      </c>
      <c r="F63" s="822" t="s">
        <v>1086</v>
      </c>
    </row>
    <row r="64" spans="1:9" x14ac:dyDescent="0.2">
      <c r="A64" s="222" t="s">
        <v>964</v>
      </c>
      <c r="B64" s="232">
        <f>+B56+B18</f>
        <v>951912.33504166675</v>
      </c>
      <c r="E64" s="307" t="s">
        <v>1096</v>
      </c>
      <c r="G64" s="823" t="s">
        <v>1097</v>
      </c>
      <c r="H64" s="823" t="s">
        <v>1098</v>
      </c>
      <c r="I64" s="823" t="s">
        <v>1099</v>
      </c>
    </row>
    <row r="65" spans="1:10" x14ac:dyDescent="0.2">
      <c r="A65" s="222" t="s">
        <v>346</v>
      </c>
      <c r="B65" s="232">
        <f>+B19+B57</f>
        <v>226555.1357399167</v>
      </c>
      <c r="C65" s="228">
        <f>+B65+J72</f>
        <v>234560.70484991671</v>
      </c>
      <c r="E65" s="818" t="s">
        <v>334</v>
      </c>
      <c r="F65" s="812">
        <v>31359.57</v>
      </c>
      <c r="G65" s="812">
        <f>+F65/12*8</f>
        <v>20906.38</v>
      </c>
      <c r="H65" s="812">
        <f>+F65/12*2</f>
        <v>5226.5950000000003</v>
      </c>
      <c r="I65" s="812">
        <f>+F65/12</f>
        <v>2613.2975000000001</v>
      </c>
    </row>
    <row r="66" spans="1:10" x14ac:dyDescent="0.2">
      <c r="A66" s="222" t="s">
        <v>38</v>
      </c>
      <c r="B66" s="232">
        <f>+B20+B58</f>
        <v>27415.075249200003</v>
      </c>
      <c r="C66" s="228">
        <f>+B66+J73</f>
        <v>28383.816385200003</v>
      </c>
      <c r="E66" s="818" t="s">
        <v>348</v>
      </c>
      <c r="F66" s="812">
        <v>456</v>
      </c>
      <c r="G66" s="812">
        <f t="shared" ref="G66:G74" si="16">+F66/12*8</f>
        <v>304</v>
      </c>
      <c r="H66" s="812">
        <f t="shared" ref="H66:H70" si="17">+F66/12*2</f>
        <v>76</v>
      </c>
      <c r="I66" s="812">
        <f t="shared" ref="I66:I70" si="18">+F66/12</f>
        <v>38</v>
      </c>
    </row>
    <row r="67" spans="1:10" x14ac:dyDescent="0.2">
      <c r="A67" s="222" t="s">
        <v>366</v>
      </c>
      <c r="B67" s="232">
        <f>+B21+B59</f>
        <v>80912.548478541677</v>
      </c>
      <c r="C67" s="228">
        <f t="shared" ref="C67" si="19">+B67+J74</f>
        <v>83771.680303541681</v>
      </c>
      <c r="E67" s="818" t="s">
        <v>349</v>
      </c>
      <c r="F67" s="812">
        <v>1411.8600000000001</v>
      </c>
      <c r="G67" s="812">
        <f t="shared" si="16"/>
        <v>941.24000000000012</v>
      </c>
      <c r="H67" s="812">
        <f t="shared" si="17"/>
        <v>235.31000000000003</v>
      </c>
      <c r="I67" s="812">
        <f t="shared" si="18"/>
        <v>117.65500000000002</v>
      </c>
    </row>
    <row r="68" spans="1:10" x14ac:dyDescent="0.2">
      <c r="A68" s="224" t="s">
        <v>155</v>
      </c>
      <c r="B68" s="225">
        <f>SUM(B64:B67)</f>
        <v>1286795.094509325</v>
      </c>
      <c r="E68" s="811" t="s">
        <v>1082</v>
      </c>
      <c r="F68" s="812">
        <v>512.51</v>
      </c>
      <c r="G68" s="812">
        <f t="shared" si="16"/>
        <v>341.67333333333335</v>
      </c>
      <c r="H68" s="812">
        <f t="shared" si="17"/>
        <v>85.418333333333337</v>
      </c>
      <c r="I68" s="812">
        <f t="shared" si="18"/>
        <v>42.709166666666668</v>
      </c>
    </row>
    <row r="69" spans="1:10" x14ac:dyDescent="0.2">
      <c r="E69" s="818" t="s">
        <v>337</v>
      </c>
      <c r="F69" s="812">
        <v>157.69999999999999</v>
      </c>
      <c r="G69" s="812">
        <f t="shared" si="16"/>
        <v>105.13333333333333</v>
      </c>
      <c r="H69" s="812">
        <f t="shared" si="17"/>
        <v>26.283333333333331</v>
      </c>
      <c r="I69" s="812">
        <f t="shared" si="18"/>
        <v>13.141666666666666</v>
      </c>
    </row>
    <row r="70" spans="1:10" x14ac:dyDescent="0.2">
      <c r="E70" s="818" t="s">
        <v>338</v>
      </c>
      <c r="F70" s="812">
        <f>2641.44+155.66</f>
        <v>2797.1</v>
      </c>
      <c r="G70" s="812">
        <f>+F70/12*8</f>
        <v>1864.7333333333333</v>
      </c>
      <c r="H70" s="812">
        <f t="shared" si="17"/>
        <v>466.18333333333334</v>
      </c>
      <c r="I70" s="812">
        <f t="shared" si="18"/>
        <v>233.09166666666667</v>
      </c>
    </row>
    <row r="71" spans="1:10" x14ac:dyDescent="0.2">
      <c r="E71" s="818"/>
      <c r="F71" s="824">
        <f>SUM(F65:F70)</f>
        <v>36694.74</v>
      </c>
      <c r="G71" s="824">
        <f>SUM(G65:G70)</f>
        <v>24463.160000000003</v>
      </c>
      <c r="H71" s="824">
        <f t="shared" ref="H71:I71" si="20">SUM(H65:H70)</f>
        <v>6115.7900000000009</v>
      </c>
      <c r="I71" s="824">
        <f t="shared" si="20"/>
        <v>3057.8950000000004</v>
      </c>
      <c r="J71" s="220">
        <f>SUM(G71:I71)</f>
        <v>33636.845000000001</v>
      </c>
    </row>
    <row r="72" spans="1:10" x14ac:dyDescent="0.2">
      <c r="E72" s="818" t="s">
        <v>339</v>
      </c>
      <c r="F72" s="812">
        <f>+F71*0.238</f>
        <v>8733.3481199999987</v>
      </c>
      <c r="G72" s="812">
        <f t="shared" si="16"/>
        <v>5822.2320799999989</v>
      </c>
      <c r="H72" s="812">
        <f>+F72/12*2</f>
        <v>1455.5580199999997</v>
      </c>
      <c r="I72" s="812">
        <f>+F72/12</f>
        <v>727.77900999999986</v>
      </c>
      <c r="J72" s="220">
        <f t="shared" ref="J72:J74" si="21">SUM(G72:I72)</f>
        <v>8005.5691099999985</v>
      </c>
    </row>
    <row r="73" spans="1:10" x14ac:dyDescent="0.2">
      <c r="E73" s="818" t="s">
        <v>38</v>
      </c>
      <c r="F73" s="812">
        <f>+F71*0.0288</f>
        <v>1056.8085119999998</v>
      </c>
      <c r="G73" s="812">
        <f t="shared" si="16"/>
        <v>704.53900799999985</v>
      </c>
      <c r="H73" s="812">
        <f t="shared" ref="H73:H74" si="22">+F73/12*2</f>
        <v>176.13475199999996</v>
      </c>
      <c r="I73" s="812">
        <f t="shared" ref="I73:I74" si="23">+F73/12</f>
        <v>88.067375999999982</v>
      </c>
      <c r="J73" s="220">
        <f t="shared" si="21"/>
        <v>968.74113599999976</v>
      </c>
    </row>
    <row r="74" spans="1:10" x14ac:dyDescent="0.2">
      <c r="B74" s="228"/>
      <c r="E74" s="818" t="s">
        <v>340</v>
      </c>
      <c r="F74" s="812">
        <f>+F71*0.085</f>
        <v>3119.0529000000001</v>
      </c>
      <c r="G74" s="812">
        <f t="shared" si="16"/>
        <v>2079.3686000000002</v>
      </c>
      <c r="H74" s="812">
        <f t="shared" si="22"/>
        <v>519.84215000000006</v>
      </c>
      <c r="I74" s="812">
        <f t="shared" si="23"/>
        <v>259.92107500000003</v>
      </c>
      <c r="J74" s="220">
        <f t="shared" si="21"/>
        <v>2859.1318250000004</v>
      </c>
    </row>
    <row r="75" spans="1:10" x14ac:dyDescent="0.2">
      <c r="B75" s="228">
        <f>(B79+B81)/12</f>
        <v>26765.416437788197</v>
      </c>
      <c r="E75" s="307" t="s">
        <v>29</v>
      </c>
      <c r="F75" s="824">
        <f>SUM(F71:F74)</f>
        <v>49603.949532000006</v>
      </c>
      <c r="G75" s="824">
        <f>SUM(G71:G74)</f>
        <v>33069.299687999999</v>
      </c>
      <c r="H75" s="824">
        <f>SUM(H71:H74)</f>
        <v>8267.3249219999998</v>
      </c>
      <c r="I75" s="824">
        <f>SUM(I71:I74)</f>
        <v>4133.6624609999999</v>
      </c>
    </row>
    <row r="76" spans="1:10" x14ac:dyDescent="0.2">
      <c r="C76" s="228"/>
      <c r="D76" s="228"/>
      <c r="G76" s="315"/>
      <c r="H76" s="315"/>
      <c r="I76" s="315"/>
    </row>
    <row r="77" spans="1:10" x14ac:dyDescent="0.2">
      <c r="B77" s="218" t="s">
        <v>1100</v>
      </c>
      <c r="C77" s="218" t="s">
        <v>143</v>
      </c>
      <c r="D77" s="218" t="s">
        <v>1101</v>
      </c>
      <c r="E77" s="218" t="s">
        <v>1102</v>
      </c>
      <c r="F77" s="218" t="s">
        <v>1103</v>
      </c>
      <c r="G77" s="315"/>
      <c r="H77" s="315"/>
      <c r="I77" s="315">
        <v>3073</v>
      </c>
      <c r="J77" s="228">
        <f>+I71-I77</f>
        <v>-15.104999999999563</v>
      </c>
    </row>
    <row r="78" spans="1:10" x14ac:dyDescent="0.2">
      <c r="A78" s="218" t="s">
        <v>1104</v>
      </c>
      <c r="B78" s="228">
        <f>+B64+G71+H71+I71+B111+C111+D111</f>
        <v>993676.28004166682</v>
      </c>
      <c r="C78" s="228">
        <v>990771</v>
      </c>
      <c r="D78" s="228">
        <f>990771+G53+H38</f>
        <v>993020.14004775009</v>
      </c>
      <c r="E78" s="228">
        <f>B78-C78</f>
        <v>2905.2800416668179</v>
      </c>
      <c r="F78" s="228">
        <f>+C78-J71</f>
        <v>957134.15500000003</v>
      </c>
      <c r="G78" s="228"/>
      <c r="H78" s="315"/>
      <c r="I78" s="315">
        <v>820</v>
      </c>
      <c r="J78" s="228">
        <f>+I72+I73-I78</f>
        <v>-4.1536140000001751</v>
      </c>
    </row>
    <row r="79" spans="1:10" x14ac:dyDescent="0.2">
      <c r="A79" s="218" t="s">
        <v>1105</v>
      </c>
      <c r="B79" s="228">
        <f>+B65+G72+H72+I72+B112+C112+D112</f>
        <v>236722.51344991667</v>
      </c>
      <c r="C79" s="228">
        <v>235805</v>
      </c>
      <c r="D79" s="228">
        <f>265222+G50+G51+H35+H36</f>
        <v>265665.90484150004</v>
      </c>
      <c r="E79" s="228">
        <f>B79-C79</f>
        <v>917.51344991667429</v>
      </c>
      <c r="F79" s="228">
        <f>+C79-J72</f>
        <v>227799.43088999999</v>
      </c>
      <c r="G79" s="228"/>
      <c r="H79" s="315"/>
      <c r="I79" s="315">
        <v>262</v>
      </c>
      <c r="J79" s="228">
        <f>+I74-I79</f>
        <v>-2.0789249999999697</v>
      </c>
    </row>
    <row r="80" spans="1:10" x14ac:dyDescent="0.2">
      <c r="A80" s="218" t="s">
        <v>38</v>
      </c>
      <c r="B80" s="228">
        <f>+B66+G73+H73+I73</f>
        <v>28383.816385200003</v>
      </c>
      <c r="C80" s="228">
        <v>29417</v>
      </c>
      <c r="D80" s="228"/>
      <c r="E80" s="228">
        <f>+B80-C80</f>
        <v>-1033.1836147999966</v>
      </c>
      <c r="F80" s="228">
        <f>+C80-J73</f>
        <v>28448.258863999999</v>
      </c>
      <c r="G80" s="228"/>
      <c r="H80" s="315"/>
      <c r="I80" s="315"/>
    </row>
    <row r="81" spans="1:7" x14ac:dyDescent="0.2">
      <c r="A81" s="218" t="s">
        <v>1106</v>
      </c>
      <c r="B81" s="228">
        <f>+B67+G74+H74+I74+B113+C113+D113</f>
        <v>84462.483803541676</v>
      </c>
      <c r="C81" s="228">
        <v>84243</v>
      </c>
      <c r="D81" s="228">
        <f>84243+G52+H37</f>
        <v>84384.423956250001</v>
      </c>
      <c r="E81" s="228">
        <f>B81-C81</f>
        <v>219.48380354167602</v>
      </c>
      <c r="F81" s="228">
        <f>+C81-J74</f>
        <v>81383.868174999996</v>
      </c>
      <c r="G81" s="228"/>
    </row>
    <row r="82" spans="1:7" x14ac:dyDescent="0.2">
      <c r="A82" s="218" t="s">
        <v>29</v>
      </c>
      <c r="C82" s="229">
        <f>SUM(C78:C81)</f>
        <v>1340236</v>
      </c>
      <c r="D82" s="228"/>
      <c r="F82" s="228">
        <f>SUM(F78:F81)</f>
        <v>1294765.7129289999</v>
      </c>
      <c r="G82" s="228"/>
    </row>
    <row r="83" spans="1:7" x14ac:dyDescent="0.2">
      <c r="B83" s="228"/>
      <c r="C83" s="228"/>
      <c r="D83" s="228"/>
      <c r="E83" s="228"/>
      <c r="F83" s="228"/>
      <c r="G83" s="228"/>
    </row>
    <row r="84" spans="1:7" x14ac:dyDescent="0.2">
      <c r="B84" s="228">
        <f>SUM(B78:B81)</f>
        <v>1343245.0936803252</v>
      </c>
      <c r="C84" s="228">
        <f>SUM(C78:C81)</f>
        <v>1340236</v>
      </c>
      <c r="D84" s="228">
        <f>SUM(D78:D81)</f>
        <v>1343070.4688455001</v>
      </c>
      <c r="E84" s="228">
        <f>B84-C84</f>
        <v>3009.0936803251971</v>
      </c>
      <c r="F84" s="228"/>
      <c r="G84" s="228"/>
    </row>
    <row r="85" spans="1:7" x14ac:dyDescent="0.2">
      <c r="B85" s="228"/>
      <c r="C85" s="228"/>
      <c r="D85" s="228"/>
      <c r="E85" s="228"/>
      <c r="F85" s="228"/>
      <c r="G85" s="228"/>
    </row>
    <row r="86" spans="1:7" x14ac:dyDescent="0.2">
      <c r="C86" s="228"/>
      <c r="D86" s="228"/>
      <c r="E86" s="228"/>
      <c r="F86" s="228"/>
      <c r="G86" s="228"/>
    </row>
    <row r="87" spans="1:7" x14ac:dyDescent="0.2">
      <c r="B87" s="218" t="s">
        <v>1107</v>
      </c>
      <c r="C87" s="218" t="s">
        <v>1108</v>
      </c>
      <c r="D87" s="218" t="s">
        <v>366</v>
      </c>
      <c r="E87" s="218" t="s">
        <v>1109</v>
      </c>
      <c r="F87" s="228" t="s">
        <v>1110</v>
      </c>
      <c r="G87" s="228"/>
    </row>
    <row r="88" spans="1:7" x14ac:dyDescent="0.2">
      <c r="A88" s="218" t="s">
        <v>1111</v>
      </c>
      <c r="B88" s="315">
        <v>6500</v>
      </c>
      <c r="C88" s="315">
        <f>+B88*0.266</f>
        <v>1729</v>
      </c>
      <c r="D88" s="315">
        <f>+B88*0.085</f>
        <v>552.5</v>
      </c>
      <c r="E88" s="315">
        <f>+C88+D88</f>
        <v>2281.5</v>
      </c>
      <c r="F88" s="315">
        <f>+C88+D88-E88</f>
        <v>0</v>
      </c>
      <c r="G88" s="315"/>
    </row>
    <row r="89" spans="1:7" x14ac:dyDescent="0.2">
      <c r="A89" s="218" t="s">
        <v>1112</v>
      </c>
      <c r="B89" s="315">
        <v>16000</v>
      </c>
      <c r="C89" s="315">
        <f t="shared" ref="C89:C90" si="24">+B89*0.266</f>
        <v>4256</v>
      </c>
      <c r="D89" s="315">
        <f t="shared" ref="D89:D91" si="25">+B89*0.085</f>
        <v>1360</v>
      </c>
      <c r="E89" s="315">
        <f>3458+1105</f>
        <v>4563</v>
      </c>
      <c r="F89" s="315">
        <f t="shared" ref="F89:F91" si="26">+C89+D89-E89</f>
        <v>1053</v>
      </c>
      <c r="G89" s="315"/>
    </row>
    <row r="90" spans="1:7" x14ac:dyDescent="0.2">
      <c r="A90" s="218" t="s">
        <v>1113</v>
      </c>
      <c r="B90" s="315">
        <v>79500</v>
      </c>
      <c r="C90" s="315">
        <f t="shared" si="24"/>
        <v>21147</v>
      </c>
      <c r="D90" s="315">
        <f t="shared" si="25"/>
        <v>6757.5000000000009</v>
      </c>
      <c r="E90" s="315">
        <f>20555+6568</f>
        <v>27123</v>
      </c>
      <c r="F90" s="315">
        <f t="shared" si="26"/>
        <v>781.5</v>
      </c>
      <c r="G90" s="315"/>
    </row>
    <row r="91" spans="1:7" x14ac:dyDescent="0.2">
      <c r="A91" s="218" t="s">
        <v>1114</v>
      </c>
      <c r="B91" s="315">
        <v>28830</v>
      </c>
      <c r="C91" s="315">
        <f>+B91*0.266</f>
        <v>7668.7800000000007</v>
      </c>
      <c r="D91" s="315">
        <f t="shared" si="25"/>
        <v>2450.5500000000002</v>
      </c>
      <c r="E91" s="315">
        <f>+C91+D91</f>
        <v>10119.330000000002</v>
      </c>
      <c r="F91" s="315">
        <f t="shared" si="26"/>
        <v>0</v>
      </c>
      <c r="G91" s="315"/>
    </row>
    <row r="92" spans="1:7" x14ac:dyDescent="0.2">
      <c r="B92" s="315"/>
      <c r="C92" s="315"/>
      <c r="D92" s="315"/>
      <c r="E92" s="315"/>
      <c r="F92" s="315"/>
      <c r="G92" s="315"/>
    </row>
    <row r="93" spans="1:7" x14ac:dyDescent="0.2">
      <c r="C93" s="741">
        <f>SUM(C88:C90)</f>
        <v>27132</v>
      </c>
      <c r="D93" s="741">
        <f>SUM(D88:D90)</f>
        <v>8670</v>
      </c>
      <c r="E93" s="741">
        <f t="shared" ref="E93:F93" si="27">SUM(E88:E90)</f>
        <v>33967.5</v>
      </c>
      <c r="F93" s="741">
        <f t="shared" si="27"/>
        <v>1834.5</v>
      </c>
      <c r="G93" s="315"/>
    </row>
    <row r="94" spans="1:7" x14ac:dyDescent="0.2">
      <c r="E94" s="315"/>
      <c r="F94" s="315"/>
      <c r="G94" s="315"/>
    </row>
    <row r="95" spans="1:7" x14ac:dyDescent="0.2">
      <c r="A95" s="218" t="s">
        <v>1115</v>
      </c>
      <c r="C95" s="228">
        <f>+D79+C93</f>
        <v>292797.90484150004</v>
      </c>
      <c r="D95" s="228">
        <f>+D81+D93</f>
        <v>93054.423956250001</v>
      </c>
      <c r="E95" s="315"/>
      <c r="F95" s="315"/>
      <c r="G95" s="315"/>
    </row>
    <row r="96" spans="1:7" x14ac:dyDescent="0.2">
      <c r="E96" s="315"/>
      <c r="F96" s="315"/>
      <c r="G96" s="315"/>
    </row>
    <row r="97" spans="1:7" x14ac:dyDescent="0.2">
      <c r="F97" s="228"/>
      <c r="G97" s="228"/>
    </row>
    <row r="98" spans="1:7" x14ac:dyDescent="0.2">
      <c r="F98" s="228"/>
      <c r="G98" s="228"/>
    </row>
    <row r="99" spans="1:7" x14ac:dyDescent="0.2">
      <c r="F99" s="228"/>
      <c r="G99" s="228"/>
    </row>
    <row r="100" spans="1:7" x14ac:dyDescent="0.2">
      <c r="C100" s="228"/>
      <c r="D100" s="228"/>
      <c r="E100" s="228"/>
      <c r="F100" s="228"/>
      <c r="G100" s="228"/>
    </row>
    <row r="101" spans="1:7" x14ac:dyDescent="0.2">
      <c r="C101" s="228"/>
      <c r="D101" s="228"/>
      <c r="E101" s="228"/>
      <c r="F101" s="228"/>
      <c r="G101" s="228"/>
    </row>
    <row r="102" spans="1:7" x14ac:dyDescent="0.2">
      <c r="B102" s="218" t="s">
        <v>1116</v>
      </c>
      <c r="C102" s="228" t="s">
        <v>1117</v>
      </c>
      <c r="D102" s="228" t="s">
        <v>1118</v>
      </c>
      <c r="E102" s="228" t="s">
        <v>1119</v>
      </c>
      <c r="F102" s="228"/>
      <c r="G102" s="228"/>
    </row>
    <row r="103" spans="1:7" x14ac:dyDescent="0.2">
      <c r="A103" s="218" t="s">
        <v>1120</v>
      </c>
      <c r="B103" s="315">
        <f>117.07*14</f>
        <v>1638.98</v>
      </c>
      <c r="C103" s="315">
        <f>117.07*14</f>
        <v>1638.98</v>
      </c>
      <c r="D103" s="315">
        <f>117.07*14</f>
        <v>1638.98</v>
      </c>
      <c r="E103" s="315">
        <f>1329*14</f>
        <v>18606</v>
      </c>
      <c r="F103" s="228"/>
      <c r="G103" s="228"/>
    </row>
    <row r="104" spans="1:7" x14ac:dyDescent="0.2">
      <c r="B104" s="315">
        <v>74.61</v>
      </c>
      <c r="C104" s="315">
        <v>74.61</v>
      </c>
      <c r="D104" s="315">
        <v>74.61</v>
      </c>
      <c r="E104" s="315">
        <v>845</v>
      </c>
      <c r="F104" s="228"/>
      <c r="G104" s="228"/>
    </row>
    <row r="105" spans="1:7" x14ac:dyDescent="0.2">
      <c r="B105" s="315">
        <v>67.97</v>
      </c>
      <c r="C105" s="315">
        <v>67.97</v>
      </c>
      <c r="D105" s="315">
        <v>67.97</v>
      </c>
      <c r="E105" s="315">
        <v>773</v>
      </c>
      <c r="F105" s="228"/>
      <c r="G105" s="228"/>
    </row>
    <row r="106" spans="1:7" x14ac:dyDescent="0.2">
      <c r="B106" s="315">
        <f>89.24*2</f>
        <v>178.48</v>
      </c>
      <c r="C106" s="315">
        <f>89.24*2</f>
        <v>178.48</v>
      </c>
      <c r="D106" s="315">
        <f>89.24*2</f>
        <v>178.48</v>
      </c>
      <c r="E106" s="315">
        <f>1010.36*2</f>
        <v>2020.72</v>
      </c>
      <c r="F106" s="228"/>
      <c r="G106" s="228"/>
    </row>
    <row r="107" spans="1:7" x14ac:dyDescent="0.2">
      <c r="B107" s="315">
        <v>64.099999999999994</v>
      </c>
      <c r="C107" s="315">
        <v>64.099999999999994</v>
      </c>
      <c r="D107" s="315">
        <v>64.099999999999994</v>
      </c>
      <c r="E107" s="315">
        <v>732</v>
      </c>
      <c r="F107" s="228"/>
      <c r="G107" s="228"/>
    </row>
    <row r="108" spans="1:7" x14ac:dyDescent="0.2">
      <c r="B108" s="315">
        <f>108.83*4</f>
        <v>435.32</v>
      </c>
      <c r="C108" s="315">
        <f>108.83*4</f>
        <v>435.32</v>
      </c>
      <c r="D108" s="315">
        <f>108.83*4</f>
        <v>435.32</v>
      </c>
      <c r="E108" s="315">
        <f>1235*4</f>
        <v>4940</v>
      </c>
    </row>
    <row r="109" spans="1:7" x14ac:dyDescent="0.2">
      <c r="B109" s="315">
        <f>101.09*2</f>
        <v>202.18</v>
      </c>
      <c r="C109" s="315">
        <f>101.09*2</f>
        <v>202.18</v>
      </c>
      <c r="D109" s="315">
        <f>101.09</f>
        <v>101.09</v>
      </c>
      <c r="E109" s="315">
        <v>918</v>
      </c>
    </row>
    <row r="110" spans="1:7" x14ac:dyDescent="0.2">
      <c r="B110" s="315">
        <v>81.09</v>
      </c>
      <c r="C110" s="315">
        <v>81.09</v>
      </c>
      <c r="D110" s="315">
        <v>81.09</v>
      </c>
      <c r="E110" s="315"/>
    </row>
    <row r="111" spans="1:7" x14ac:dyDescent="0.2">
      <c r="B111" s="741">
        <f>SUM(B103:B110)</f>
        <v>2742.73</v>
      </c>
      <c r="C111" s="741">
        <f t="shared" ref="C111:E111" si="28">SUM(C103:C110)</f>
        <v>2742.73</v>
      </c>
      <c r="D111" s="741">
        <f t="shared" si="28"/>
        <v>2641.6400000000003</v>
      </c>
      <c r="E111" s="741">
        <f t="shared" si="28"/>
        <v>28834.720000000001</v>
      </c>
      <c r="F111" s="218">
        <v>28800</v>
      </c>
    </row>
    <row r="112" spans="1:7" x14ac:dyDescent="0.2">
      <c r="B112" s="315">
        <f>+B111*0.266</f>
        <v>729.56618000000003</v>
      </c>
      <c r="C112" s="315">
        <f t="shared" ref="C112:D112" si="29">+C111*0.266</f>
        <v>729.56618000000003</v>
      </c>
      <c r="D112" s="315">
        <f t="shared" si="29"/>
        <v>702.67624000000012</v>
      </c>
      <c r="E112" s="315">
        <f>+E111*0.266</f>
        <v>7670.0355200000004</v>
      </c>
      <c r="F112" s="218">
        <v>10109</v>
      </c>
    </row>
    <row r="113" spans="2:5" x14ac:dyDescent="0.2">
      <c r="B113" s="315">
        <f>+B111*0.085</f>
        <v>233.13205000000002</v>
      </c>
      <c r="C113" s="315">
        <f t="shared" ref="C113:D113" si="30">+C111*0.085</f>
        <v>233.13205000000002</v>
      </c>
      <c r="D113" s="315">
        <f t="shared" si="30"/>
        <v>224.53940000000006</v>
      </c>
      <c r="E113" s="315">
        <f>+E111*0.085</f>
        <v>2450.9512000000004</v>
      </c>
    </row>
    <row r="114" spans="2:5" x14ac:dyDescent="0.2">
      <c r="B114" s="226">
        <f>SUM(B111:B113)</f>
        <v>3705.4282300000004</v>
      </c>
      <c r="C114" s="226">
        <f t="shared" ref="C114:E114" si="31">SUM(C111:C113)</f>
        <v>3705.4282300000004</v>
      </c>
      <c r="D114" s="226">
        <f t="shared" si="31"/>
        <v>3568.8556400000007</v>
      </c>
      <c r="E114" s="226">
        <f t="shared" si="31"/>
        <v>38955.706720000002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24E4-D06E-3949-8196-A2F907B63579}">
  <dimension ref="A1:Q111"/>
  <sheetViews>
    <sheetView topLeftCell="E24" zoomScale="146" zoomScaleNormal="146" workbookViewId="0">
      <selection activeCell="H42" sqref="H42"/>
    </sheetView>
  </sheetViews>
  <sheetFormatPr baseColWidth="10" defaultColWidth="11.5" defaultRowHeight="15" x14ac:dyDescent="0.2"/>
  <cols>
    <col min="1" max="1" width="67.5" style="218" customWidth="1"/>
    <col min="2" max="2" width="10.5" style="218" bestFit="1" customWidth="1"/>
    <col min="3" max="3" width="14.6640625" style="731" bestFit="1" customWidth="1"/>
    <col min="4" max="6" width="12.6640625" style="218" customWidth="1"/>
    <col min="7" max="7" width="44.83203125" style="218" customWidth="1"/>
    <col min="8" max="8" width="17.33203125" style="218" bestFit="1" customWidth="1"/>
    <col min="9" max="9" width="28" style="218" customWidth="1"/>
    <col min="10" max="10" width="24.1640625" style="218" customWidth="1"/>
    <col min="11" max="11" width="18.83203125" style="218" customWidth="1"/>
    <col min="12" max="12" width="13.1640625" style="218" bestFit="1" customWidth="1"/>
    <col min="13" max="13" width="21.5" style="218" customWidth="1"/>
    <col min="14" max="14" width="13.5" style="218" customWidth="1"/>
    <col min="15" max="16384" width="11.5" style="218"/>
  </cols>
  <sheetData>
    <row r="1" spans="1:10" x14ac:dyDescent="0.2">
      <c r="C1" s="219">
        <v>2023</v>
      </c>
      <c r="D1" s="219" t="s">
        <v>995</v>
      </c>
      <c r="E1" s="219"/>
      <c r="F1" s="219"/>
      <c r="H1" s="711"/>
      <c r="J1" s="712"/>
    </row>
    <row r="2" spans="1:10" x14ac:dyDescent="0.2">
      <c r="A2" s="222" t="s">
        <v>5</v>
      </c>
      <c r="B2" s="222"/>
      <c r="C2" s="312">
        <v>2000000</v>
      </c>
      <c r="H2" s="711"/>
      <c r="I2" s="713"/>
      <c r="J2" s="712"/>
    </row>
    <row r="3" spans="1:10" x14ac:dyDescent="0.2">
      <c r="A3" s="222" t="s">
        <v>11</v>
      </c>
      <c r="B3" s="222"/>
      <c r="C3" s="312">
        <v>1000000</v>
      </c>
      <c r="H3" s="711"/>
      <c r="I3" s="713"/>
      <c r="J3" s="712"/>
    </row>
    <row r="4" spans="1:10" x14ac:dyDescent="0.2">
      <c r="A4" s="221" t="s">
        <v>26</v>
      </c>
      <c r="B4" s="221"/>
      <c r="C4" s="313">
        <f>SUM(C2:C3)</f>
        <v>3000000</v>
      </c>
      <c r="H4" s="711"/>
    </row>
    <row r="5" spans="1:10" x14ac:dyDescent="0.2">
      <c r="A5" s="222" t="s">
        <v>996</v>
      </c>
      <c r="B5" s="222"/>
      <c r="C5" s="312">
        <f>180.18+28967.19+760.49</f>
        <v>29907.86</v>
      </c>
      <c r="H5" s="711"/>
      <c r="I5" s="711"/>
      <c r="J5" s="714"/>
    </row>
    <row r="6" spans="1:10" x14ac:dyDescent="0.2">
      <c r="A6" s="221" t="s">
        <v>100</v>
      </c>
      <c r="B6" s="221"/>
      <c r="C6" s="313">
        <f>SUM(C4:C5)</f>
        <v>3029907.86</v>
      </c>
      <c r="D6" s="218">
        <v>3007000</v>
      </c>
      <c r="E6" s="220">
        <f>+C6-D6</f>
        <v>22907.85999999987</v>
      </c>
      <c r="F6" s="220"/>
      <c r="H6" s="711"/>
      <c r="I6" s="711"/>
      <c r="J6" s="714"/>
    </row>
    <row r="7" spans="1:10" x14ac:dyDescent="0.2">
      <c r="A7" s="219"/>
      <c r="B7" s="219"/>
      <c r="C7" s="310"/>
      <c r="H7" s="711"/>
      <c r="I7" s="713" t="s">
        <v>997</v>
      </c>
      <c r="J7" s="714"/>
    </row>
    <row r="8" spans="1:10" x14ac:dyDescent="0.2">
      <c r="A8" s="219"/>
      <c r="B8" s="219"/>
      <c r="C8" s="310"/>
      <c r="H8" s="711"/>
      <c r="I8" s="711" t="s">
        <v>626</v>
      </c>
      <c r="J8" s="714">
        <f>61000*1.22</f>
        <v>74420</v>
      </c>
    </row>
    <row r="9" spans="1:10" x14ac:dyDescent="0.2">
      <c r="C9" s="715"/>
      <c r="H9" s="711"/>
      <c r="I9" s="716" t="s">
        <v>628</v>
      </c>
      <c r="J9" s="717">
        <f>+J8/5</f>
        <v>14884</v>
      </c>
    </row>
    <row r="10" spans="1:10" x14ac:dyDescent="0.2">
      <c r="A10" s="718" t="s">
        <v>31</v>
      </c>
      <c r="B10" s="719"/>
      <c r="C10" s="720"/>
      <c r="H10" s="721">
        <v>2022</v>
      </c>
      <c r="I10" s="712">
        <f>+J9</f>
        <v>14884</v>
      </c>
      <c r="J10" s="712"/>
    </row>
    <row r="11" spans="1:10" x14ac:dyDescent="0.2">
      <c r="A11" s="722" t="s">
        <v>728</v>
      </c>
      <c r="C11" s="723"/>
      <c r="H11" s="721">
        <v>2023</v>
      </c>
      <c r="I11" s="712">
        <f>+I10</f>
        <v>14884</v>
      </c>
      <c r="J11" s="712"/>
    </row>
    <row r="12" spans="1:10" x14ac:dyDescent="0.2">
      <c r="A12" s="724" t="s">
        <v>729</v>
      </c>
      <c r="C12" s="827">
        <v>957134.15</v>
      </c>
      <c r="H12" s="721">
        <v>2024</v>
      </c>
      <c r="I12" s="712">
        <f>+J9</f>
        <v>14884</v>
      </c>
      <c r="J12" s="712"/>
    </row>
    <row r="13" spans="1:10" x14ac:dyDescent="0.2">
      <c r="A13" s="724" t="s">
        <v>624</v>
      </c>
      <c r="C13" s="827">
        <v>227799.43</v>
      </c>
      <c r="H13" s="721">
        <v>2025</v>
      </c>
      <c r="I13" s="712">
        <f>+I11</f>
        <v>14884</v>
      </c>
      <c r="J13" s="712" t="s">
        <v>998</v>
      </c>
    </row>
    <row r="14" spans="1:10" x14ac:dyDescent="0.2">
      <c r="A14" s="724" t="s">
        <v>625</v>
      </c>
      <c r="C14" s="827">
        <v>28448.26</v>
      </c>
      <c r="H14" s="721">
        <v>2026</v>
      </c>
      <c r="I14" s="725">
        <f>+J9</f>
        <v>14884</v>
      </c>
      <c r="J14" s="712" t="s">
        <v>998</v>
      </c>
    </row>
    <row r="15" spans="1:10" x14ac:dyDescent="0.2">
      <c r="A15" s="724" t="s">
        <v>999</v>
      </c>
      <c r="C15" s="827">
        <v>7444.38</v>
      </c>
      <c r="H15" s="721"/>
      <c r="I15" s="725"/>
      <c r="J15" s="712"/>
    </row>
    <row r="16" spans="1:10" x14ac:dyDescent="0.2">
      <c r="A16" s="724" t="s">
        <v>1000</v>
      </c>
      <c r="C16" s="723">
        <v>81383.87</v>
      </c>
      <c r="G16" s="228"/>
    </row>
    <row r="17" spans="1:12" x14ac:dyDescent="0.2">
      <c r="A17" s="722" t="s">
        <v>40</v>
      </c>
      <c r="B17" s="219"/>
      <c r="C17" s="726">
        <f>SUM(C12:C16)</f>
        <v>1302210.0899999999</v>
      </c>
    </row>
    <row r="18" spans="1:12" x14ac:dyDescent="0.2">
      <c r="A18" s="724"/>
      <c r="C18" s="723"/>
    </row>
    <row r="19" spans="1:12" x14ac:dyDescent="0.2">
      <c r="A19" s="724"/>
      <c r="C19" s="723"/>
    </row>
    <row r="20" spans="1:12" x14ac:dyDescent="0.2">
      <c r="A20" s="724" t="s">
        <v>627</v>
      </c>
      <c r="C20" s="827">
        <f>+H39</f>
        <v>76000</v>
      </c>
      <c r="H20" s="713" t="s">
        <v>730</v>
      </c>
      <c r="I20" s="714">
        <v>4880</v>
      </c>
      <c r="J20" s="712" t="s">
        <v>731</v>
      </c>
    </row>
    <row r="21" spans="1:12" x14ac:dyDescent="0.2">
      <c r="A21" s="724" t="s">
        <v>629</v>
      </c>
      <c r="C21" s="827">
        <f>+H41</f>
        <v>6321.05</v>
      </c>
      <c r="H21" s="711">
        <v>2020</v>
      </c>
      <c r="I21" s="712">
        <v>1220</v>
      </c>
      <c r="J21" s="712"/>
    </row>
    <row r="22" spans="1:12" x14ac:dyDescent="0.2">
      <c r="A22" s="724" t="s">
        <v>630</v>
      </c>
      <c r="C22" s="827">
        <f>+I39+I41</f>
        <v>21897.399300000001</v>
      </c>
      <c r="H22" s="711">
        <v>2021</v>
      </c>
      <c r="I22" s="712">
        <v>1220</v>
      </c>
      <c r="J22" s="712"/>
    </row>
    <row r="23" spans="1:12" x14ac:dyDescent="0.2">
      <c r="A23" s="724" t="s">
        <v>631</v>
      </c>
      <c r="C23" s="827">
        <f>+J39+J41</f>
        <v>6997.2892500000007</v>
      </c>
      <c r="H23" s="711"/>
      <c r="I23" s="712"/>
      <c r="J23" s="712"/>
    </row>
    <row r="24" spans="1:12" x14ac:dyDescent="0.2">
      <c r="A24" s="724" t="s">
        <v>1001</v>
      </c>
      <c r="C24" s="827">
        <f>14335</f>
        <v>14335</v>
      </c>
      <c r="H24" s="711">
        <v>2023</v>
      </c>
      <c r="I24" s="712">
        <v>1220</v>
      </c>
      <c r="J24" s="712"/>
    </row>
    <row r="25" spans="1:12" x14ac:dyDescent="0.2">
      <c r="A25" s="724" t="s">
        <v>1002</v>
      </c>
      <c r="C25" s="827">
        <v>38909</v>
      </c>
      <c r="H25" s="711"/>
      <c r="I25" s="712"/>
      <c r="J25" s="712"/>
    </row>
    <row r="26" spans="1:12" x14ac:dyDescent="0.2">
      <c r="A26" s="724" t="s">
        <v>1003</v>
      </c>
      <c r="C26" s="827">
        <v>2112</v>
      </c>
      <c r="H26" s="711"/>
      <c r="I26" s="712"/>
      <c r="J26" s="712"/>
    </row>
    <row r="27" spans="1:12" x14ac:dyDescent="0.2">
      <c r="A27" s="727" t="s">
        <v>58</v>
      </c>
      <c r="B27" s="728"/>
      <c r="C27" s="729">
        <f>SUM(C17:C26)</f>
        <v>1468781.8285499997</v>
      </c>
      <c r="D27" s="218">
        <v>1366000</v>
      </c>
      <c r="E27" s="220">
        <f>+C27-D27</f>
        <v>102781.82854999974</v>
      </c>
      <c r="F27" s="220"/>
    </row>
    <row r="28" spans="1:12" x14ac:dyDescent="0.2">
      <c r="C28" s="715"/>
      <c r="G28" s="218">
        <v>34859.360000000001</v>
      </c>
      <c r="H28" s="713" t="s">
        <v>56</v>
      </c>
      <c r="I28" s="714">
        <v>34404</v>
      </c>
      <c r="J28" s="218" t="s">
        <v>57</v>
      </c>
    </row>
    <row r="29" spans="1:12" x14ac:dyDescent="0.2">
      <c r="C29" s="715"/>
      <c r="H29" s="218">
        <v>2019</v>
      </c>
      <c r="I29" s="712">
        <f>+I28/60*3</f>
        <v>1720.1999999999998</v>
      </c>
      <c r="J29" s="218" t="s">
        <v>59</v>
      </c>
      <c r="L29" s="711"/>
    </row>
    <row r="30" spans="1:12" x14ac:dyDescent="0.2">
      <c r="A30" s="724"/>
      <c r="C30" s="730"/>
      <c r="I30" s="712"/>
      <c r="L30" s="711"/>
    </row>
    <row r="31" spans="1:12" x14ac:dyDescent="0.2">
      <c r="H31" s="218">
        <v>2020</v>
      </c>
      <c r="I31" s="712">
        <f>+I28/60*12</f>
        <v>6880.7999999999993</v>
      </c>
      <c r="J31" s="218" t="s">
        <v>62</v>
      </c>
      <c r="L31" s="711"/>
    </row>
    <row r="32" spans="1:12" x14ac:dyDescent="0.2">
      <c r="C32" s="715"/>
      <c r="H32" s="218">
        <v>2021</v>
      </c>
      <c r="I32" s="712">
        <f>+I28/60*12</f>
        <v>6880.7999999999993</v>
      </c>
      <c r="J32" s="218" t="s">
        <v>62</v>
      </c>
      <c r="L32" s="711"/>
    </row>
    <row r="33" spans="1:14" x14ac:dyDescent="0.2">
      <c r="C33" s="715"/>
      <c r="H33" s="218">
        <v>2022</v>
      </c>
      <c r="I33" s="712">
        <f>+I28/60*12</f>
        <v>6880.7999999999993</v>
      </c>
      <c r="J33" s="218" t="s">
        <v>62</v>
      </c>
      <c r="L33" s="711"/>
    </row>
    <row r="34" spans="1:14" x14ac:dyDescent="0.2">
      <c r="A34" s="718" t="s">
        <v>65</v>
      </c>
      <c r="B34" s="719"/>
      <c r="C34" s="720"/>
      <c r="H34" s="218">
        <v>2023</v>
      </c>
      <c r="I34" s="712">
        <f>+I28/60*12</f>
        <v>6880.7999999999993</v>
      </c>
      <c r="J34" s="218" t="s">
        <v>62</v>
      </c>
      <c r="L34" s="711"/>
    </row>
    <row r="35" spans="1:14" x14ac:dyDescent="0.2">
      <c r="A35" s="724" t="s">
        <v>632</v>
      </c>
      <c r="C35" s="829">
        <f>J76+J77</f>
        <v>143953</v>
      </c>
      <c r="H35" s="218">
        <v>2024</v>
      </c>
      <c r="I35" s="712">
        <f>+I28/60*9</f>
        <v>5160.5999999999995</v>
      </c>
      <c r="J35" s="712" t="s">
        <v>73</v>
      </c>
      <c r="K35" s="712"/>
      <c r="L35" s="711"/>
    </row>
    <row r="36" spans="1:14" x14ac:dyDescent="0.2">
      <c r="A36" s="724" t="s">
        <v>70</v>
      </c>
      <c r="C36" s="829">
        <v>10200</v>
      </c>
      <c r="I36" s="711"/>
      <c r="J36" s="712"/>
      <c r="K36" s="712"/>
      <c r="L36" s="711"/>
    </row>
    <row r="37" spans="1:14" x14ac:dyDescent="0.2">
      <c r="A37" s="724" t="s">
        <v>1004</v>
      </c>
      <c r="C37" s="829">
        <f>3631+1545+3092+3092+900</f>
        <v>12260</v>
      </c>
      <c r="I37" s="711"/>
      <c r="J37" s="714"/>
      <c r="K37" s="712"/>
      <c r="L37" s="711"/>
    </row>
    <row r="38" spans="1:14" x14ac:dyDescent="0.2">
      <c r="A38" s="732"/>
      <c r="B38" s="733"/>
      <c r="C38" s="734">
        <f>SUM(C35:C37)</f>
        <v>166413</v>
      </c>
      <c r="G38" s="313" t="s">
        <v>1005</v>
      </c>
      <c r="H38" s="221" t="s">
        <v>622</v>
      </c>
      <c r="I38" s="221" t="s">
        <v>1006</v>
      </c>
      <c r="J38" s="221" t="s">
        <v>623</v>
      </c>
      <c r="K38" s="221" t="s">
        <v>155</v>
      </c>
      <c r="L38" s="221" t="s">
        <v>898</v>
      </c>
      <c r="M38" s="221" t="s">
        <v>899</v>
      </c>
    </row>
    <row r="39" spans="1:14" x14ac:dyDescent="0.2">
      <c r="C39" s="715"/>
      <c r="G39" s="735" t="s">
        <v>1007</v>
      </c>
      <c r="H39" s="736">
        <v>76000</v>
      </c>
      <c r="I39" s="736">
        <f>+H39*0.266</f>
        <v>20216</v>
      </c>
      <c r="J39" s="736">
        <f>+H39*0.085</f>
        <v>6460.0000000000009</v>
      </c>
      <c r="K39" s="736">
        <f>SUM(H39:J39)</f>
        <v>102676</v>
      </c>
      <c r="L39" s="736">
        <f>+K39</f>
        <v>102676</v>
      </c>
      <c r="M39" s="736">
        <v>0</v>
      </c>
    </row>
    <row r="40" spans="1:14" x14ac:dyDescent="0.2">
      <c r="A40" s="718" t="s">
        <v>77</v>
      </c>
      <c r="B40" s="719"/>
      <c r="C40" s="720"/>
      <c r="G40" s="222" t="s">
        <v>1008</v>
      </c>
      <c r="H40" s="736">
        <v>3500</v>
      </c>
      <c r="I40" s="736">
        <f>+H40*0.266</f>
        <v>931</v>
      </c>
      <c r="J40" s="736">
        <f>+H40*0.085</f>
        <v>297.5</v>
      </c>
      <c r="K40" s="736">
        <f>SUM(H40:J40)</f>
        <v>4728.5</v>
      </c>
      <c r="M40" s="736">
        <f>+K40</f>
        <v>4728.5</v>
      </c>
      <c r="N40" s="218" t="s">
        <v>46</v>
      </c>
    </row>
    <row r="41" spans="1:14" x14ac:dyDescent="0.2">
      <c r="A41" s="724" t="s">
        <v>1009</v>
      </c>
      <c r="C41" s="723">
        <v>87514</v>
      </c>
      <c r="D41" s="737"/>
      <c r="G41" s="735" t="s">
        <v>1010</v>
      </c>
      <c r="H41" s="736">
        <v>6321.05</v>
      </c>
      <c r="I41" s="736">
        <f t="shared" ref="I41:I42" si="0">+H41*0.266</f>
        <v>1681.3993</v>
      </c>
      <c r="J41" s="736">
        <f t="shared" ref="J41:J42" si="1">+H41*0.085</f>
        <v>537.28925000000004</v>
      </c>
      <c r="K41" s="736">
        <f t="shared" ref="K41:K42" si="2">SUM(H41:J41)</f>
        <v>8539.73855</v>
      </c>
      <c r="L41" s="736">
        <f>+K41</f>
        <v>8539.73855</v>
      </c>
      <c r="M41" s="736"/>
    </row>
    <row r="42" spans="1:14" x14ac:dyDescent="0.2">
      <c r="A42" s="724" t="s">
        <v>732</v>
      </c>
      <c r="C42" s="723"/>
      <c r="G42" s="222" t="s">
        <v>1011</v>
      </c>
      <c r="H42" s="736">
        <f>16000-6321.05</f>
        <v>9678.9500000000007</v>
      </c>
      <c r="I42" s="736">
        <f t="shared" si="0"/>
        <v>2574.6007000000004</v>
      </c>
      <c r="J42" s="736">
        <f t="shared" si="1"/>
        <v>822.71075000000008</v>
      </c>
      <c r="K42" s="736">
        <f t="shared" si="2"/>
        <v>13076.261450000002</v>
      </c>
      <c r="L42" s="736"/>
      <c r="M42" s="736">
        <f>+K42</f>
        <v>13076.261450000002</v>
      </c>
      <c r="N42" s="218" t="s">
        <v>46</v>
      </c>
    </row>
    <row r="43" spans="1:14" x14ac:dyDescent="0.2">
      <c r="A43" s="724" t="s">
        <v>82</v>
      </c>
      <c r="C43" s="723">
        <v>0</v>
      </c>
      <c r="G43" s="738" t="s">
        <v>1012</v>
      </c>
      <c r="H43" s="736">
        <v>6500</v>
      </c>
      <c r="I43" s="736">
        <f>+H43*0.266</f>
        <v>1729</v>
      </c>
      <c r="J43" s="736">
        <f>+H43*0.085</f>
        <v>552.5</v>
      </c>
      <c r="K43" s="736">
        <f>SUM(H43:J43)</f>
        <v>8781.5</v>
      </c>
      <c r="L43" s="736"/>
      <c r="M43" s="736">
        <f>+K43</f>
        <v>8781.5</v>
      </c>
      <c r="N43" s="218" t="s">
        <v>1013</v>
      </c>
    </row>
    <row r="44" spans="1:14" x14ac:dyDescent="0.2">
      <c r="A44" s="724" t="s">
        <v>83</v>
      </c>
      <c r="C44" s="723">
        <v>0</v>
      </c>
      <c r="G44" s="739" t="s">
        <v>1014</v>
      </c>
      <c r="H44" s="740">
        <v>1198</v>
      </c>
      <c r="I44" s="740">
        <f>+H44*0.266</f>
        <v>318.66800000000001</v>
      </c>
      <c r="J44" s="740">
        <f>+H44*0.085</f>
        <v>101.83000000000001</v>
      </c>
      <c r="K44" s="740">
        <f>SUM(H44:J44)</f>
        <v>1618.498</v>
      </c>
      <c r="L44" s="740"/>
      <c r="M44" s="740">
        <f>+K44</f>
        <v>1618.498</v>
      </c>
      <c r="N44" s="309" t="s">
        <v>1015</v>
      </c>
    </row>
    <row r="45" spans="1:14" x14ac:dyDescent="0.2">
      <c r="A45" s="732"/>
      <c r="B45" s="733"/>
      <c r="C45" s="826">
        <f>SUM(C41:C44)</f>
        <v>87514</v>
      </c>
      <c r="D45" s="218">
        <v>74093</v>
      </c>
      <c r="E45" s="220">
        <f>+C45-D45</f>
        <v>13421</v>
      </c>
      <c r="F45" s="220"/>
      <c r="G45" s="222" t="s">
        <v>1016</v>
      </c>
      <c r="H45" s="736">
        <v>4495.07</v>
      </c>
      <c r="I45" s="736"/>
      <c r="J45" s="736"/>
      <c r="K45" s="736">
        <f>SUM(H45:J45)</f>
        <v>4495.07</v>
      </c>
      <c r="L45" s="736"/>
      <c r="M45" s="736">
        <f>+K45</f>
        <v>4495.07</v>
      </c>
    </row>
    <row r="46" spans="1:14" x14ac:dyDescent="0.2">
      <c r="C46" s="715"/>
      <c r="I46" s="713"/>
      <c r="J46" s="714"/>
    </row>
    <row r="47" spans="1:14" x14ac:dyDescent="0.2">
      <c r="A47" s="718" t="s">
        <v>86</v>
      </c>
      <c r="B47" s="719"/>
      <c r="C47" s="720"/>
      <c r="I47" s="711"/>
      <c r="J47" s="712"/>
    </row>
    <row r="48" spans="1:14" x14ac:dyDescent="0.2">
      <c r="A48" s="724" t="s">
        <v>1017</v>
      </c>
      <c r="C48" s="827">
        <f>+I10</f>
        <v>14884</v>
      </c>
      <c r="I48" s="711"/>
      <c r="J48" s="712"/>
    </row>
    <row r="49" spans="1:13" x14ac:dyDescent="0.2">
      <c r="A49" s="724" t="s">
        <v>733</v>
      </c>
      <c r="C49" s="827">
        <v>31</v>
      </c>
      <c r="I49" s="711"/>
      <c r="J49" s="712"/>
    </row>
    <row r="50" spans="1:13" x14ac:dyDescent="0.2">
      <c r="A50" s="724" t="s">
        <v>1018</v>
      </c>
      <c r="C50" s="827">
        <f>6881+366</f>
        <v>7247</v>
      </c>
      <c r="H50" s="218">
        <v>2023</v>
      </c>
      <c r="I50" s="711"/>
      <c r="J50" s="711"/>
    </row>
    <row r="51" spans="1:13" x14ac:dyDescent="0.2">
      <c r="A51" s="724" t="s">
        <v>1019</v>
      </c>
      <c r="C51" s="827">
        <v>23472.799999999999</v>
      </c>
      <c r="G51" s="219" t="s">
        <v>155</v>
      </c>
      <c r="H51" s="741">
        <f>SUM(H52:H56)</f>
        <v>4557.34</v>
      </c>
      <c r="I51" s="711"/>
      <c r="J51" s="714"/>
    </row>
    <row r="52" spans="1:13" x14ac:dyDescent="0.2">
      <c r="A52" s="724" t="s">
        <v>92</v>
      </c>
      <c r="C52" s="827">
        <f>H51</f>
        <v>4557.34</v>
      </c>
      <c r="G52" s="218" t="s">
        <v>1020</v>
      </c>
      <c r="H52" s="315">
        <v>3112</v>
      </c>
      <c r="I52" s="711"/>
      <c r="J52" s="714"/>
    </row>
    <row r="53" spans="1:13" x14ac:dyDescent="0.2">
      <c r="A53" s="724" t="s">
        <v>734</v>
      </c>
      <c r="C53" s="723">
        <v>0</v>
      </c>
      <c r="G53" s="218" t="s">
        <v>1021</v>
      </c>
      <c r="H53" s="315">
        <v>1202</v>
      </c>
      <c r="I53" s="711"/>
      <c r="J53" s="714"/>
    </row>
    <row r="54" spans="1:13" x14ac:dyDescent="0.2">
      <c r="A54" s="724" t="s">
        <v>94</v>
      </c>
      <c r="C54" s="827">
        <v>1276.6400000000001</v>
      </c>
      <c r="G54" s="218" t="s">
        <v>1022</v>
      </c>
      <c r="H54" s="315">
        <v>243.34</v>
      </c>
      <c r="I54" s="742"/>
      <c r="J54" s="742"/>
    </row>
    <row r="55" spans="1:13" x14ac:dyDescent="0.2">
      <c r="A55" s="218" t="s">
        <v>735</v>
      </c>
      <c r="C55" s="827">
        <f>+H61+H60+H59+H58</f>
        <v>89490.61</v>
      </c>
    </row>
    <row r="56" spans="1:13" x14ac:dyDescent="0.2">
      <c r="A56" s="724" t="s">
        <v>633</v>
      </c>
      <c r="C56" s="827">
        <v>900000</v>
      </c>
      <c r="H56" s="315"/>
    </row>
    <row r="57" spans="1:13" x14ac:dyDescent="0.2">
      <c r="A57" s="218" t="s">
        <v>102</v>
      </c>
      <c r="C57" s="827">
        <v>26654.32</v>
      </c>
    </row>
    <row r="58" spans="1:13" x14ac:dyDescent="0.2">
      <c r="A58" s="732"/>
      <c r="B58" s="733"/>
      <c r="C58" s="729">
        <f>SUM(C48:C57)</f>
        <v>1067613.71</v>
      </c>
      <c r="D58" s="218">
        <v>1101198</v>
      </c>
      <c r="E58" s="220">
        <f>+C58-D58</f>
        <v>-33584.290000000037</v>
      </c>
      <c r="G58" s="218" t="s">
        <v>1023</v>
      </c>
      <c r="H58" s="315">
        <v>40844.61</v>
      </c>
    </row>
    <row r="59" spans="1:13" x14ac:dyDescent="0.2">
      <c r="C59" s="715"/>
      <c r="G59" s="218" t="s">
        <v>1024</v>
      </c>
      <c r="H59" s="315">
        <v>20646</v>
      </c>
    </row>
    <row r="60" spans="1:13" x14ac:dyDescent="0.2">
      <c r="A60" s="743" t="s">
        <v>737</v>
      </c>
      <c r="B60" s="744"/>
      <c r="C60" s="825">
        <v>2025.26</v>
      </c>
      <c r="D60" s="218">
        <v>2370</v>
      </c>
      <c r="E60" s="220">
        <f>+C60-D60</f>
        <v>-344.74</v>
      </c>
      <c r="G60" s="218" t="s">
        <v>1025</v>
      </c>
      <c r="H60" s="315">
        <v>20000</v>
      </c>
    </row>
    <row r="61" spans="1:13" x14ac:dyDescent="0.2">
      <c r="C61" s="715"/>
      <c r="G61" s="218" t="s">
        <v>736</v>
      </c>
      <c r="H61" s="315">
        <v>8000</v>
      </c>
    </row>
    <row r="62" spans="1:13" x14ac:dyDescent="0.2">
      <c r="A62" s="718" t="s">
        <v>104</v>
      </c>
      <c r="B62" s="719"/>
      <c r="C62" s="720"/>
      <c r="H62" s="315"/>
    </row>
    <row r="63" spans="1:13" x14ac:dyDescent="0.2">
      <c r="A63" s="724" t="s">
        <v>1026</v>
      </c>
      <c r="C63" s="827">
        <v>2225.5</v>
      </c>
      <c r="I63" s="711"/>
      <c r="J63" s="712"/>
    </row>
    <row r="64" spans="1:13" x14ac:dyDescent="0.2">
      <c r="A64" s="724" t="s">
        <v>1027</v>
      </c>
      <c r="C64" s="827">
        <v>-1399.82</v>
      </c>
      <c r="G64" s="218" t="s">
        <v>1028</v>
      </c>
      <c r="H64" s="742"/>
      <c r="I64" s="745" t="s">
        <v>1029</v>
      </c>
      <c r="J64" s="746" t="s">
        <v>110</v>
      </c>
      <c r="K64" s="747"/>
      <c r="L64" s="222"/>
      <c r="M64" s="222"/>
    </row>
    <row r="65" spans="1:14" x14ac:dyDescent="0.2">
      <c r="A65" s="724" t="s">
        <v>1030</v>
      </c>
      <c r="C65" s="827">
        <v>5255.52</v>
      </c>
      <c r="I65" s="748" t="s">
        <v>1031</v>
      </c>
      <c r="J65" s="746">
        <f>10154.92*12</f>
        <v>121859.04000000001</v>
      </c>
      <c r="K65" s="745" t="s">
        <v>112</v>
      </c>
      <c r="L65" s="221" t="s">
        <v>113</v>
      </c>
      <c r="M65" s="221" t="s">
        <v>114</v>
      </c>
      <c r="N65" s="218" t="s">
        <v>1032</v>
      </c>
    </row>
    <row r="66" spans="1:14" x14ac:dyDescent="0.2">
      <c r="A66" s="724" t="s">
        <v>1033</v>
      </c>
      <c r="C66" s="828">
        <f>1936.75+590</f>
        <v>2526.75</v>
      </c>
      <c r="I66" s="748" t="s">
        <v>738</v>
      </c>
      <c r="J66" s="749">
        <f>+J65*0.03</f>
        <v>3655.7712000000001</v>
      </c>
      <c r="K66" s="749">
        <f>+J66*0.22</f>
        <v>804.26966400000003</v>
      </c>
      <c r="L66" s="749">
        <f>+(J66+K66)*0.04</f>
        <v>178.40163456000002</v>
      </c>
      <c r="M66" s="749">
        <f>SUM(J66:L66)</f>
        <v>4638.4424985600008</v>
      </c>
      <c r="N66" s="218">
        <v>600</v>
      </c>
    </row>
    <row r="67" spans="1:14" x14ac:dyDescent="0.2">
      <c r="A67" s="724" t="s">
        <v>1034</v>
      </c>
      <c r="C67" s="827">
        <f>23.25+23+23+66.53+1114.99+224.84+18.5+39.04+10.98</f>
        <v>1544.1299999999999</v>
      </c>
      <c r="I67" s="748" t="s">
        <v>739</v>
      </c>
      <c r="J67" s="749">
        <f>+J65*0.02</f>
        <v>2437.1808000000001</v>
      </c>
      <c r="K67" s="749">
        <f>+J67*0.22</f>
        <v>536.17977600000006</v>
      </c>
      <c r="L67" s="749">
        <f>+(J67+K67)*0.04</f>
        <v>118.93442304</v>
      </c>
      <c r="M67" s="749">
        <f>SUM(J67:L67)</f>
        <v>3092.2949990400002</v>
      </c>
      <c r="N67" s="218">
        <v>500</v>
      </c>
    </row>
    <row r="68" spans="1:14" x14ac:dyDescent="0.2">
      <c r="A68" s="724" t="s">
        <v>1035</v>
      </c>
      <c r="C68" s="827">
        <v>3622.63</v>
      </c>
      <c r="I68" s="748" t="s">
        <v>740</v>
      </c>
      <c r="J68" s="749">
        <f>+J65*0.02</f>
        <v>2437.1808000000001</v>
      </c>
      <c r="K68" s="749">
        <f>+J68*0.22</f>
        <v>536.17977600000006</v>
      </c>
      <c r="L68" s="749">
        <f>+(J68+K68)*0.04</f>
        <v>118.93442304</v>
      </c>
      <c r="M68" s="749">
        <f>SUM(J68:L68)</f>
        <v>3092.2949990400002</v>
      </c>
      <c r="N68" s="218">
        <v>400</v>
      </c>
    </row>
    <row r="69" spans="1:14" x14ac:dyDescent="0.2">
      <c r="A69" s="724" t="s">
        <v>25</v>
      </c>
      <c r="C69" s="827">
        <f>208.85+88.68</f>
        <v>297.52999999999997</v>
      </c>
      <c r="I69" s="748"/>
      <c r="J69" s="749"/>
      <c r="K69" s="749"/>
      <c r="L69" s="749"/>
      <c r="M69" s="749"/>
    </row>
    <row r="70" spans="1:14" x14ac:dyDescent="0.2">
      <c r="A70" s="732"/>
      <c r="B70" s="733"/>
      <c r="C70" s="729">
        <f>SUM(C63:C69)</f>
        <v>14072.24</v>
      </c>
      <c r="D70" s="218">
        <v>56500</v>
      </c>
      <c r="E70" s="220">
        <f>+C70-D70</f>
        <v>-42427.76</v>
      </c>
      <c r="I70" s="745" t="s">
        <v>29</v>
      </c>
      <c r="J70" s="749"/>
      <c r="K70" s="749"/>
      <c r="L70" s="749"/>
      <c r="M70" s="746">
        <f>SUM(M66:M68)</f>
        <v>10823.03249664</v>
      </c>
    </row>
    <row r="71" spans="1:14" x14ac:dyDescent="0.2">
      <c r="C71" s="715"/>
      <c r="I71" s="711"/>
      <c r="J71" s="712"/>
      <c r="K71" s="711"/>
    </row>
    <row r="72" spans="1:14" x14ac:dyDescent="0.2">
      <c r="A72" s="743" t="s">
        <v>107</v>
      </c>
      <c r="B72" s="744"/>
      <c r="C72" s="825">
        <f>66.67+8292.83</f>
        <v>8359.5</v>
      </c>
      <c r="D72" s="218">
        <v>14200</v>
      </c>
      <c r="E72" s="220">
        <f>+C72-D72</f>
        <v>-5840.5</v>
      </c>
      <c r="I72" s="711"/>
      <c r="J72" s="712"/>
      <c r="K72" s="711"/>
    </row>
    <row r="73" spans="1:14" x14ac:dyDescent="0.2">
      <c r="C73" s="715"/>
      <c r="I73" s="711"/>
      <c r="J73" s="712"/>
    </row>
    <row r="74" spans="1:14" ht="16" x14ac:dyDescent="0.2">
      <c r="A74" s="718" t="s">
        <v>108</v>
      </c>
      <c r="B74" s="719"/>
      <c r="C74" s="720"/>
      <c r="I74" s="745" t="s">
        <v>120</v>
      </c>
      <c r="J74" s="750" t="s">
        <v>1036</v>
      </c>
      <c r="K74" s="750" t="s">
        <v>1037</v>
      </c>
      <c r="L74" s="222" t="s">
        <v>1038</v>
      </c>
    </row>
    <row r="75" spans="1:14" x14ac:dyDescent="0.2">
      <c r="A75" s="724" t="s">
        <v>109</v>
      </c>
      <c r="C75" s="827">
        <v>73300</v>
      </c>
      <c r="I75" s="751"/>
      <c r="J75" s="749"/>
      <c r="K75" s="749"/>
      <c r="L75" s="222"/>
    </row>
    <row r="76" spans="1:14" ht="16" x14ac:dyDescent="0.2">
      <c r="A76" s="724" t="s">
        <v>111</v>
      </c>
      <c r="C76" s="827">
        <f>26700</f>
        <v>26700</v>
      </c>
      <c r="I76" s="752" t="s">
        <v>1039</v>
      </c>
      <c r="J76" s="753">
        <v>120000</v>
      </c>
      <c r="K76" s="753"/>
      <c r="L76" s="222"/>
    </row>
    <row r="77" spans="1:14" x14ac:dyDescent="0.2">
      <c r="A77" s="724" t="s">
        <v>1040</v>
      </c>
      <c r="C77" s="827">
        <f>4499.95+301.95</f>
        <v>4801.8999999999996</v>
      </c>
      <c r="I77" s="748" t="s">
        <v>1041</v>
      </c>
      <c r="J77" s="749">
        <v>23953</v>
      </c>
      <c r="K77" s="754">
        <v>10700</v>
      </c>
      <c r="L77" s="754">
        <v>13000</v>
      </c>
    </row>
    <row r="78" spans="1:14" x14ac:dyDescent="0.2">
      <c r="A78" s="724" t="s">
        <v>116</v>
      </c>
      <c r="C78" s="827">
        <v>4524</v>
      </c>
      <c r="I78" s="748" t="s">
        <v>366</v>
      </c>
      <c r="J78" s="746">
        <f>+J76*0.085</f>
        <v>10200</v>
      </c>
      <c r="K78" s="746"/>
      <c r="L78" s="222"/>
    </row>
    <row r="79" spans="1:14" x14ac:dyDescent="0.2">
      <c r="A79" s="724" t="s">
        <v>1042</v>
      </c>
      <c r="C79" s="827">
        <v>0</v>
      </c>
      <c r="I79" s="745"/>
      <c r="J79" s="746">
        <f>SUM(J76:J78)</f>
        <v>154153</v>
      </c>
      <c r="K79" s="749"/>
      <c r="L79" s="222"/>
    </row>
    <row r="80" spans="1:14" x14ac:dyDescent="0.2">
      <c r="A80" s="732"/>
      <c r="B80" s="733"/>
      <c r="C80" s="729">
        <f>SUM(C75:C79)</f>
        <v>109325.9</v>
      </c>
      <c r="D80" s="218">
        <v>106000</v>
      </c>
      <c r="E80" s="220">
        <f>+C80-D80</f>
        <v>3325.8999999999942</v>
      </c>
      <c r="I80" s="711" t="s">
        <v>1043</v>
      </c>
      <c r="J80" s="712"/>
      <c r="K80" s="712"/>
    </row>
    <row r="81" spans="1:11" x14ac:dyDescent="0.2">
      <c r="C81" s="755"/>
      <c r="I81" s="711"/>
      <c r="J81" s="711"/>
      <c r="K81" s="712"/>
    </row>
    <row r="82" spans="1:11" x14ac:dyDescent="0.2">
      <c r="A82" s="743" t="s">
        <v>99</v>
      </c>
      <c r="B82" s="744"/>
      <c r="C82" s="313">
        <f>SUM(C83:C84)</f>
        <v>98788</v>
      </c>
      <c r="D82" s="218">
        <v>89000</v>
      </c>
      <c r="E82" s="220">
        <f>+C82-D82</f>
        <v>9788</v>
      </c>
      <c r="G82" s="223"/>
    </row>
    <row r="83" spans="1:11" x14ac:dyDescent="0.2">
      <c r="A83" s="222" t="s">
        <v>489</v>
      </c>
      <c r="B83" s="222"/>
      <c r="C83" s="830">
        <f>80831-37</f>
        <v>80794</v>
      </c>
      <c r="G83" s="223"/>
    </row>
    <row r="84" spans="1:11" x14ac:dyDescent="0.2">
      <c r="A84" s="222" t="s">
        <v>490</v>
      </c>
      <c r="B84" s="222"/>
      <c r="C84" s="830">
        <v>17994</v>
      </c>
    </row>
    <row r="85" spans="1:11" x14ac:dyDescent="0.2">
      <c r="A85" s="221" t="s">
        <v>1044</v>
      </c>
      <c r="B85" s="221"/>
      <c r="C85" s="313">
        <v>0</v>
      </c>
    </row>
    <row r="86" spans="1:11" x14ac:dyDescent="0.2">
      <c r="A86" s="743" t="s">
        <v>634</v>
      </c>
      <c r="B86" s="744"/>
      <c r="C86" s="756">
        <f>+C27+C38+C45+C58+C60+C70+C72+C80+C82+C85</f>
        <v>3022893.4385499996</v>
      </c>
    </row>
    <row r="87" spans="1:11" x14ac:dyDescent="0.2">
      <c r="C87" s="715"/>
    </row>
    <row r="88" spans="1:11" x14ac:dyDescent="0.2">
      <c r="A88" s="219" t="s">
        <v>130</v>
      </c>
      <c r="B88" s="219"/>
      <c r="C88" s="757">
        <f>+C6</f>
        <v>3029907.86</v>
      </c>
    </row>
    <row r="89" spans="1:11" x14ac:dyDescent="0.2">
      <c r="A89" s="219" t="s">
        <v>132</v>
      </c>
      <c r="B89" s="219"/>
      <c r="C89" s="766">
        <f>+C88-C86</f>
        <v>7014.4214500002563</v>
      </c>
    </row>
    <row r="90" spans="1:11" x14ac:dyDescent="0.2">
      <c r="C90" s="715"/>
    </row>
    <row r="91" spans="1:11" x14ac:dyDescent="0.2">
      <c r="C91" s="219"/>
    </row>
    <row r="92" spans="1:11" x14ac:dyDescent="0.2">
      <c r="B92" s="730"/>
      <c r="C92" s="730"/>
    </row>
    <row r="93" spans="1:11" x14ac:dyDescent="0.2">
      <c r="B93" s="730"/>
      <c r="C93" s="730"/>
    </row>
    <row r="94" spans="1:11" x14ac:dyDescent="0.2">
      <c r="B94" s="730"/>
      <c r="C94" s="758"/>
    </row>
    <row r="98" spans="1:17" x14ac:dyDescent="0.2">
      <c r="M98" s="714" t="s">
        <v>1045</v>
      </c>
      <c r="N98" s="712"/>
      <c r="O98" s="711"/>
    </row>
    <row r="99" spans="1:17" x14ac:dyDescent="0.2">
      <c r="A99" s="759"/>
      <c r="C99" s="760"/>
      <c r="M99" s="712" t="s">
        <v>1046</v>
      </c>
      <c r="N99" s="712">
        <v>107936.66</v>
      </c>
      <c r="O99" s="711"/>
    </row>
    <row r="100" spans="1:17" x14ac:dyDescent="0.2">
      <c r="A100" s="761"/>
      <c r="B100" s="762"/>
      <c r="C100" s="763"/>
      <c r="D100" s="761"/>
      <c r="E100" s="761"/>
      <c r="F100" s="761"/>
      <c r="G100" s="314"/>
      <c r="M100" s="712" t="s">
        <v>1047</v>
      </c>
      <c r="N100" s="712">
        <f>+N99*0.238</f>
        <v>25688.925080000001</v>
      </c>
      <c r="O100" s="711"/>
    </row>
    <row r="101" spans="1:17" x14ac:dyDescent="0.2">
      <c r="A101" s="764"/>
      <c r="B101" s="314"/>
      <c r="C101" s="315"/>
      <c r="D101" s="764"/>
      <c r="E101" s="764"/>
      <c r="F101" s="764"/>
      <c r="G101" s="314"/>
      <c r="M101" s="712" t="s">
        <v>366</v>
      </c>
      <c r="N101" s="712">
        <f>+N99*0.085</f>
        <v>9174.6161000000011</v>
      </c>
      <c r="O101" s="711"/>
    </row>
    <row r="102" spans="1:17" x14ac:dyDescent="0.2">
      <c r="A102" s="764"/>
      <c r="B102" s="314"/>
      <c r="C102" s="315"/>
      <c r="D102" s="764"/>
      <c r="E102" s="764"/>
      <c r="F102" s="764"/>
      <c r="G102" s="314"/>
      <c r="M102" s="712" t="s">
        <v>38</v>
      </c>
      <c r="N102" s="712">
        <f>+N99*0.0288</f>
        <v>3108.5758080000001</v>
      </c>
      <c r="O102" s="711"/>
    </row>
    <row r="103" spans="1:17" x14ac:dyDescent="0.2">
      <c r="A103" s="764"/>
      <c r="B103" s="314"/>
      <c r="C103" s="315"/>
      <c r="D103" s="764"/>
      <c r="E103" s="764"/>
      <c r="F103" s="764"/>
      <c r="G103" s="314"/>
      <c r="M103" s="714" t="s">
        <v>29</v>
      </c>
      <c r="N103" s="714">
        <f>SUM(N99:N102)</f>
        <v>145908.776988</v>
      </c>
      <c r="O103" s="711"/>
    </row>
    <row r="104" spans="1:17" x14ac:dyDescent="0.2">
      <c r="A104" s="764"/>
      <c r="B104" s="314"/>
      <c r="C104" s="218"/>
      <c r="D104" s="764"/>
      <c r="E104" s="764"/>
      <c r="F104" s="764"/>
      <c r="G104" s="314"/>
      <c r="M104" s="711" t="s">
        <v>1048</v>
      </c>
      <c r="N104" s="712">
        <f>+K76+P103</f>
        <v>0</v>
      </c>
      <c r="O104" s="711">
        <f>+N104*0.085</f>
        <v>0</v>
      </c>
      <c r="P104" s="218">
        <f>+N104*0.238</f>
        <v>0</v>
      </c>
      <c r="Q104" s="218">
        <f>SUM(O104:P104)</f>
        <v>0</v>
      </c>
    </row>
    <row r="105" spans="1:17" x14ac:dyDescent="0.2">
      <c r="A105" s="764"/>
      <c r="B105" s="314"/>
      <c r="D105" s="764"/>
      <c r="E105" s="764"/>
      <c r="F105" s="764"/>
      <c r="G105" s="314"/>
      <c r="M105" s="713" t="s">
        <v>1049</v>
      </c>
      <c r="N105" s="714">
        <f>SUM(N103:N104)</f>
        <v>145908.776988</v>
      </c>
      <c r="O105" s="711"/>
    </row>
    <row r="106" spans="1:17" x14ac:dyDescent="0.2">
      <c r="A106" s="764"/>
      <c r="B106" s="314"/>
      <c r="D106" s="764"/>
      <c r="E106" s="764"/>
      <c r="F106" s="764"/>
      <c r="G106" s="314"/>
    </row>
    <row r="107" spans="1:17" x14ac:dyDescent="0.2">
      <c r="A107" s="764"/>
      <c r="B107" s="314"/>
      <c r="D107" s="764"/>
      <c r="E107" s="764"/>
      <c r="F107" s="764"/>
      <c r="G107" s="314"/>
    </row>
    <row r="108" spans="1:17" x14ac:dyDescent="0.2">
      <c r="A108" s="764"/>
      <c r="B108" s="314"/>
    </row>
    <row r="109" spans="1:17" x14ac:dyDescent="0.2">
      <c r="A109" s="764"/>
      <c r="B109" s="314"/>
    </row>
    <row r="110" spans="1:17" x14ac:dyDescent="0.2">
      <c r="A110" s="764"/>
      <c r="B110" s="314"/>
    </row>
    <row r="111" spans="1:17" x14ac:dyDescent="0.2">
      <c r="A111" s="761"/>
      <c r="B111" s="76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R115"/>
  <sheetViews>
    <sheetView zoomScale="153" zoomScaleNormal="143" workbookViewId="0">
      <selection activeCell="B6" sqref="B6"/>
    </sheetView>
  </sheetViews>
  <sheetFormatPr baseColWidth="10" defaultColWidth="14.5" defaultRowHeight="15" customHeight="1" x14ac:dyDescent="0.15"/>
  <cols>
    <col min="1" max="1" width="29.83203125" style="860" bestFit="1" customWidth="1"/>
    <col min="2" max="2" width="8.6640625" style="860" customWidth="1"/>
    <col min="3" max="3" width="9.1640625" style="860" customWidth="1"/>
    <col min="4" max="4" width="10.6640625" style="860" customWidth="1"/>
    <col min="5" max="5" width="8.33203125" style="860" bestFit="1" customWidth="1"/>
    <col min="6" max="6" width="10.33203125" style="860" customWidth="1"/>
    <col min="7" max="7" width="10" style="860" customWidth="1"/>
    <col min="8" max="8" width="5.83203125" style="860" customWidth="1"/>
    <col min="9" max="9" width="35" style="860" bestFit="1" customWidth="1"/>
    <col min="10" max="10" width="14.5" style="860"/>
    <col min="11" max="11" width="30.1640625" style="860" customWidth="1"/>
    <col min="12" max="12" width="9.83203125" style="860" customWidth="1"/>
    <col min="13" max="13" width="9" style="860" customWidth="1"/>
    <col min="14" max="14" width="9.6640625" style="860" customWidth="1"/>
    <col min="15" max="15" width="9.1640625" style="860" customWidth="1"/>
    <col min="16" max="16" width="10.1640625" style="860" customWidth="1"/>
    <col min="17" max="17" width="9.1640625" style="860" customWidth="1"/>
    <col min="18" max="18" width="4" style="860" customWidth="1"/>
    <col min="19" max="16384" width="14.5" style="860"/>
  </cols>
  <sheetData>
    <row r="2" spans="1:18" ht="15" customHeight="1" x14ac:dyDescent="0.15">
      <c r="A2" s="877" t="s">
        <v>932</v>
      </c>
      <c r="K2" s="877" t="s">
        <v>829</v>
      </c>
    </row>
    <row r="3" spans="1:18" ht="15" customHeight="1" x14ac:dyDescent="0.15">
      <c r="A3" s="831" t="s">
        <v>0</v>
      </c>
      <c r="B3" s="831">
        <v>2023</v>
      </c>
      <c r="C3" s="831">
        <v>2022</v>
      </c>
      <c r="D3" s="831" t="s">
        <v>1</v>
      </c>
      <c r="E3" s="831" t="s">
        <v>2</v>
      </c>
      <c r="F3" s="831" t="s">
        <v>1123</v>
      </c>
      <c r="G3" s="831" t="s">
        <v>1</v>
      </c>
      <c r="H3" s="831" t="s">
        <v>2</v>
      </c>
      <c r="K3" s="831" t="s">
        <v>4</v>
      </c>
      <c r="L3" s="831">
        <v>2023</v>
      </c>
      <c r="M3" s="831">
        <v>2022</v>
      </c>
      <c r="N3" s="831" t="s">
        <v>1</v>
      </c>
      <c r="O3" s="831" t="s">
        <v>2</v>
      </c>
      <c r="P3" s="831" t="s">
        <v>1123</v>
      </c>
      <c r="Q3" s="831" t="s">
        <v>1</v>
      </c>
      <c r="R3" s="831" t="s">
        <v>2</v>
      </c>
    </row>
    <row r="4" spans="1:18" ht="15" customHeight="1" x14ac:dyDescent="0.15">
      <c r="A4" s="832" t="s">
        <v>3</v>
      </c>
      <c r="B4" s="842">
        <f>+'RICLASSIFIC. CIVILIST.'!H8</f>
        <v>128904</v>
      </c>
      <c r="C4" s="842">
        <f>+'RICLASSIFIC. CIVILIST.'!I8</f>
        <v>83575</v>
      </c>
      <c r="D4" s="842">
        <f>+B4-C4</f>
        <v>45329</v>
      </c>
      <c r="E4" s="841">
        <f>+D4/C4</f>
        <v>0.54237511217469336</v>
      </c>
      <c r="F4" s="842">
        <v>92100</v>
      </c>
      <c r="G4" s="842">
        <f>+B4-F4</f>
        <v>36804</v>
      </c>
      <c r="H4" s="841">
        <f>+G4/F4</f>
        <v>0.39960912052117264</v>
      </c>
      <c r="K4" s="832" t="s">
        <v>3</v>
      </c>
      <c r="L4" s="879">
        <f>+'RICLASSIFIC. CIVILIST.'!H8</f>
        <v>128904</v>
      </c>
      <c r="M4" s="879">
        <f>+'RICLASSIFIC. CIVILIST.'!I8</f>
        <v>83575</v>
      </c>
      <c r="N4" s="879">
        <f>+L4-M4</f>
        <v>45329</v>
      </c>
      <c r="O4" s="878">
        <f>+N4/M4</f>
        <v>0.54237511217469336</v>
      </c>
      <c r="P4" s="879">
        <v>92100</v>
      </c>
      <c r="Q4" s="879">
        <f>+L4-P4</f>
        <v>36804</v>
      </c>
      <c r="R4" s="878">
        <f>+Q4/P4</f>
        <v>0.39960912052117264</v>
      </c>
    </row>
    <row r="5" spans="1:18" ht="15" customHeight="1" x14ac:dyDescent="0.15">
      <c r="A5" s="832" t="s">
        <v>15</v>
      </c>
      <c r="B5" s="833">
        <f>+'RICLASSIFIC. CIVILIST.'!H5+'RICLASSIFIC. CIVILIST.'!H6+'RICLASSIFIC. CIVILIST.'!H7</f>
        <v>3230157</v>
      </c>
      <c r="C5" s="834">
        <f>+'RICLASSIFIC. CIVILIST.'!I5+'RICLASSIFIC. CIVILIST.'!I6+'RICLASSIFIC. CIVILIST.'!I7</f>
        <v>3909793</v>
      </c>
      <c r="D5" s="839">
        <f t="shared" ref="D5:D9" si="0">+B5-C5</f>
        <v>-679636</v>
      </c>
      <c r="E5" s="840">
        <f t="shared" ref="E5:E9" si="1">+D5/C5</f>
        <v>-0.17382915156889381</v>
      </c>
      <c r="F5" s="833">
        <v>3986405</v>
      </c>
      <c r="G5" s="839">
        <f t="shared" ref="G5:G9" si="2">+B5-F5</f>
        <v>-756248</v>
      </c>
      <c r="H5" s="841">
        <f t="shared" ref="H5:H6" si="3">+G5/F5</f>
        <v>-0.18970676587050236</v>
      </c>
      <c r="K5" s="832" t="s">
        <v>16</v>
      </c>
      <c r="L5" s="879">
        <f>+'RICLASSIFIC. CIVILIST.'!H6+'RICLASSIFIC. CIVILIST.'!H5</f>
        <v>2054989</v>
      </c>
      <c r="M5" s="879">
        <f>+'RICLASSIFIC. CIVILIST.'!I6+'RICLASSIFIC. CIVILIST.'!I5</f>
        <v>2304322</v>
      </c>
      <c r="N5" s="879">
        <f t="shared" ref="N5:N8" si="4">+L5-M5</f>
        <v>-249333</v>
      </c>
      <c r="O5" s="840">
        <f t="shared" ref="O5:O6" si="5">+N5/M5</f>
        <v>-0.10820232589021847</v>
      </c>
      <c r="P5" s="879">
        <v>2737800</v>
      </c>
      <c r="Q5" s="879">
        <f t="shared" ref="Q5:Q8" si="6">+L5-P5</f>
        <v>-682811</v>
      </c>
      <c r="R5" s="840">
        <f t="shared" ref="R5:R6" si="7">+Q5/P5</f>
        <v>-0.2494013441449339</v>
      </c>
    </row>
    <row r="6" spans="1:18" ht="15" customHeight="1" x14ac:dyDescent="0.15">
      <c r="A6" s="832" t="s">
        <v>6</v>
      </c>
      <c r="B6" s="833">
        <f>+'RICLASSIFIC. CIVILIST.'!H14</f>
        <v>436071</v>
      </c>
      <c r="C6" s="834">
        <f>+'RICLASSIFIC. CIVILIST.'!I14</f>
        <v>507703</v>
      </c>
      <c r="D6" s="839">
        <f>+B6-C6</f>
        <v>-71632</v>
      </c>
      <c r="E6" s="840">
        <f t="shared" si="1"/>
        <v>-0.14109036188480273</v>
      </c>
      <c r="F6" s="833">
        <v>442600</v>
      </c>
      <c r="G6" s="839">
        <f t="shared" si="2"/>
        <v>-6529</v>
      </c>
      <c r="H6" s="841">
        <f t="shared" si="3"/>
        <v>-1.4751468594667872E-2</v>
      </c>
      <c r="K6" s="832" t="s">
        <v>22</v>
      </c>
      <c r="L6" s="879">
        <f>+'RICLASSIFIC. CIVILIST.'!H7</f>
        <v>1175168</v>
      </c>
      <c r="M6" s="879">
        <f>+'RICLASSIFIC. CIVILIST.'!I7</f>
        <v>1605471</v>
      </c>
      <c r="N6" s="879">
        <f t="shared" si="4"/>
        <v>-430303</v>
      </c>
      <c r="O6" s="840">
        <f t="shared" si="5"/>
        <v>-0.26802290418201263</v>
      </c>
      <c r="P6" s="879">
        <v>1248605</v>
      </c>
      <c r="Q6" s="879">
        <f t="shared" si="6"/>
        <v>-73437</v>
      </c>
      <c r="R6" s="840">
        <f t="shared" si="7"/>
        <v>-5.8815237805390816E-2</v>
      </c>
    </row>
    <row r="7" spans="1:18" ht="15" customHeight="1" x14ac:dyDescent="0.15">
      <c r="A7" s="832" t="s">
        <v>934</v>
      </c>
      <c r="B7" s="833">
        <f>+'RICLASSIFIC. CIVILIST.'!H10</f>
        <v>122533</v>
      </c>
      <c r="C7" s="834">
        <v>80078</v>
      </c>
      <c r="D7" s="835">
        <f t="shared" si="0"/>
        <v>42455</v>
      </c>
      <c r="E7" s="836" t="s">
        <v>8</v>
      </c>
      <c r="F7" s="833">
        <v>0</v>
      </c>
      <c r="G7" s="835">
        <f t="shared" si="2"/>
        <v>122533</v>
      </c>
      <c r="H7" s="836" t="s">
        <v>8</v>
      </c>
      <c r="K7" s="832" t="s">
        <v>934</v>
      </c>
      <c r="L7" s="879">
        <f>+'RICLASSIFIC. CIVILIST.'!H10</f>
        <v>122533</v>
      </c>
      <c r="M7" s="879">
        <f>+'RICLASSIFIC. CIVILIST.'!I10</f>
        <v>80078</v>
      </c>
      <c r="N7" s="879">
        <f t="shared" si="4"/>
        <v>42455</v>
      </c>
      <c r="O7" s="878" t="s">
        <v>8</v>
      </c>
      <c r="P7" s="879">
        <v>0</v>
      </c>
      <c r="Q7" s="879">
        <f t="shared" si="6"/>
        <v>122533</v>
      </c>
      <c r="R7" s="878" t="s">
        <v>8</v>
      </c>
    </row>
    <row r="8" spans="1:18" ht="15" customHeight="1" x14ac:dyDescent="0.15">
      <c r="A8" s="832" t="s">
        <v>7</v>
      </c>
      <c r="B8" s="833">
        <f>+'RICLASSIFIC. CIVILIST.'!H44</f>
        <v>28967</v>
      </c>
      <c r="C8" s="834">
        <f>+'RICLASSIFIC. CIVILIST.'!I44</f>
        <v>1874</v>
      </c>
      <c r="D8" s="835">
        <f t="shared" si="0"/>
        <v>27093</v>
      </c>
      <c r="E8" s="836">
        <f t="shared" si="1"/>
        <v>14.457310565635005</v>
      </c>
      <c r="F8" s="833">
        <v>0</v>
      </c>
      <c r="G8" s="835">
        <f t="shared" si="2"/>
        <v>28967</v>
      </c>
      <c r="H8" s="836" t="s">
        <v>8</v>
      </c>
      <c r="K8" s="832" t="s">
        <v>28</v>
      </c>
      <c r="L8" s="879">
        <v>0</v>
      </c>
      <c r="M8" s="879">
        <v>0</v>
      </c>
      <c r="N8" s="879">
        <f t="shared" si="4"/>
        <v>0</v>
      </c>
      <c r="O8" s="878" t="s">
        <v>8</v>
      </c>
      <c r="P8" s="879">
        <v>0</v>
      </c>
      <c r="Q8" s="879">
        <f t="shared" si="6"/>
        <v>0</v>
      </c>
      <c r="R8" s="878" t="s">
        <v>8</v>
      </c>
    </row>
    <row r="9" spans="1:18" ht="15" customHeight="1" x14ac:dyDescent="0.15">
      <c r="A9" s="832" t="s">
        <v>9</v>
      </c>
      <c r="B9" s="833">
        <f>+'RICLASSIFIC. CIVILIST.'!H13</f>
        <v>989</v>
      </c>
      <c r="C9" s="834">
        <f>+'RICLASSIFIC. CIVILIST.'!I13</f>
        <v>5368</v>
      </c>
      <c r="D9" s="839">
        <f t="shared" si="0"/>
        <v>-4379</v>
      </c>
      <c r="E9" s="840">
        <f t="shared" si="1"/>
        <v>-0.81576005961251863</v>
      </c>
      <c r="F9" s="833">
        <v>0</v>
      </c>
      <c r="G9" s="835">
        <f t="shared" si="2"/>
        <v>989</v>
      </c>
      <c r="H9" s="836" t="s">
        <v>8</v>
      </c>
      <c r="K9" s="831" t="s">
        <v>29</v>
      </c>
      <c r="L9" s="844">
        <f>SUM(L4:L8)</f>
        <v>3481594</v>
      </c>
      <c r="M9" s="844">
        <f>SUM(M4:M8)</f>
        <v>4073446</v>
      </c>
      <c r="N9" s="844">
        <f>SUM(N4:N8)</f>
        <v>-591852</v>
      </c>
      <c r="O9" s="845">
        <f>+O4+O5+O6</f>
        <v>0.16614988210246223</v>
      </c>
      <c r="P9" s="844">
        <f>SUM(P4:P8)</f>
        <v>4078505</v>
      </c>
      <c r="Q9" s="844">
        <f>SUM(Q4:Q8)</f>
        <v>-596911</v>
      </c>
      <c r="R9" s="977">
        <f>+R4+R5+R6</f>
        <v>9.1392538570847934E-2</v>
      </c>
    </row>
    <row r="10" spans="1:18" ht="15" customHeight="1" x14ac:dyDescent="0.15">
      <c r="A10" s="831" t="s">
        <v>10</v>
      </c>
      <c r="B10" s="844">
        <f>SUM(B4:B9)</f>
        <v>3947621</v>
      </c>
      <c r="C10" s="844">
        <f t="shared" ref="C10:D10" si="8">SUM(C4:C9)</f>
        <v>4588391</v>
      </c>
      <c r="D10" s="844">
        <f t="shared" si="8"/>
        <v>-640770</v>
      </c>
      <c r="E10" s="845">
        <f>+D10/C10</f>
        <v>-0.13965026084307114</v>
      </c>
      <c r="F10" s="844">
        <f>SUM(F4:F9)</f>
        <v>4521105</v>
      </c>
      <c r="G10" s="844">
        <f>SUM(G4:G9)</f>
        <v>-573484</v>
      </c>
      <c r="H10" s="846">
        <f>+G10/F10</f>
        <v>-0.12684598123688789</v>
      </c>
    </row>
    <row r="11" spans="1:18" ht="15" customHeight="1" x14ac:dyDescent="0.15">
      <c r="A11" s="880"/>
      <c r="B11" s="880"/>
      <c r="C11" s="880"/>
      <c r="D11" s="880"/>
      <c r="E11" s="880"/>
      <c r="F11" s="880"/>
      <c r="G11" s="880"/>
      <c r="H11" s="880"/>
    </row>
    <row r="12" spans="1:18" ht="15" customHeight="1" x14ac:dyDescent="0.15">
      <c r="A12" s="880"/>
      <c r="B12" s="880"/>
      <c r="C12" s="880"/>
      <c r="D12" s="880"/>
      <c r="E12" s="880"/>
      <c r="F12" s="880"/>
      <c r="G12" s="880"/>
      <c r="H12" s="880"/>
      <c r="K12" s="877" t="s">
        <v>940</v>
      </c>
    </row>
    <row r="13" spans="1:18" ht="27" customHeight="1" x14ac:dyDescent="0.15">
      <c r="A13" s="831" t="s">
        <v>12</v>
      </c>
      <c r="B13" s="831">
        <v>2023</v>
      </c>
      <c r="C13" s="831">
        <v>2022</v>
      </c>
      <c r="D13" s="831" t="s">
        <v>1</v>
      </c>
      <c r="E13" s="831" t="s">
        <v>2</v>
      </c>
      <c r="F13" s="831" t="s">
        <v>1123</v>
      </c>
      <c r="G13" s="831" t="s">
        <v>1</v>
      </c>
      <c r="H13" s="831" t="s">
        <v>2</v>
      </c>
      <c r="K13" s="978" t="s">
        <v>1130</v>
      </c>
      <c r="L13" s="918">
        <v>2023</v>
      </c>
      <c r="M13" s="918">
        <v>2022</v>
      </c>
      <c r="N13" s="918" t="s">
        <v>34</v>
      </c>
      <c r="O13" s="918" t="s">
        <v>1123</v>
      </c>
      <c r="P13" s="919" t="s">
        <v>35</v>
      </c>
    </row>
    <row r="14" spans="1:18" ht="15" customHeight="1" x14ac:dyDescent="0.15">
      <c r="A14" s="832" t="s">
        <v>13</v>
      </c>
      <c r="B14" s="842">
        <f>+'RICLASSIFIC. CIVILIST.'!H19</f>
        <v>16833</v>
      </c>
      <c r="C14" s="842">
        <f>+'RICLASSIFIC. CIVILIST.'!I19</f>
        <v>101378</v>
      </c>
      <c r="D14" s="842">
        <f>+B14-C14</f>
        <v>-84545</v>
      </c>
      <c r="E14" s="841">
        <f>+D14/C14</f>
        <v>-0.83395805796129341</v>
      </c>
      <c r="F14" s="842">
        <v>52700</v>
      </c>
      <c r="G14" s="842">
        <f>+B14-F14</f>
        <v>-35867</v>
      </c>
      <c r="H14" s="841">
        <f>+G14/F14</f>
        <v>-0.68058823529411761</v>
      </c>
      <c r="K14" s="881" t="s">
        <v>41</v>
      </c>
      <c r="L14" s="842">
        <v>0</v>
      </c>
      <c r="M14" s="842">
        <v>104701</v>
      </c>
      <c r="N14" s="842">
        <f t="shared" ref="N14:N26" si="9">+L14-M14</f>
        <v>-104701</v>
      </c>
      <c r="O14" s="842">
        <v>0</v>
      </c>
      <c r="P14" s="842">
        <f>+L14-O14</f>
        <v>0</v>
      </c>
    </row>
    <row r="15" spans="1:18" ht="15" customHeight="1" x14ac:dyDescent="0.15">
      <c r="A15" s="832" t="s">
        <v>17</v>
      </c>
      <c r="B15" s="842">
        <f>+'RICLASSIFIC. CIVILIST.'!H21</f>
        <v>94156</v>
      </c>
      <c r="C15" s="842">
        <f>+'RICLASSIFIC. CIVILIST.'!I21</f>
        <v>76403</v>
      </c>
      <c r="D15" s="842">
        <f t="shared" ref="D15:D21" si="10">+B15-C15</f>
        <v>17753</v>
      </c>
      <c r="E15" s="838">
        <f t="shared" ref="E15:E21" si="11">+D15/C15</f>
        <v>0.23235998586442941</v>
      </c>
      <c r="F15" s="842">
        <v>62000</v>
      </c>
      <c r="G15" s="842">
        <f t="shared" ref="G15:G23" si="12">+B15-F15</f>
        <v>32156</v>
      </c>
      <c r="H15" s="843">
        <f t="shared" ref="H15:H20" si="13">+G15/F15</f>
        <v>0.51864516129032256</v>
      </c>
      <c r="K15" s="881" t="s">
        <v>122</v>
      </c>
      <c r="L15" s="842">
        <v>0</v>
      </c>
      <c r="M15" s="842">
        <v>107687</v>
      </c>
      <c r="N15" s="842">
        <f t="shared" si="9"/>
        <v>-107687</v>
      </c>
      <c r="O15" s="842">
        <v>0</v>
      </c>
      <c r="P15" s="842">
        <f t="shared" ref="P15:P26" si="14">+L15-O15</f>
        <v>0</v>
      </c>
    </row>
    <row r="16" spans="1:18" ht="15" customHeight="1" x14ac:dyDescent="0.15">
      <c r="A16" s="832" t="s">
        <v>18</v>
      </c>
      <c r="B16" s="842">
        <f>+'RICLASSIFIC. CIVILIST.'!H22</f>
        <v>1425802</v>
      </c>
      <c r="C16" s="842">
        <f>+'RICLASSIFIC. CIVILIST.'!I22</f>
        <v>1914434</v>
      </c>
      <c r="D16" s="842">
        <f t="shared" si="10"/>
        <v>-488632</v>
      </c>
      <c r="E16" s="841">
        <f t="shared" si="11"/>
        <v>-0.25523575114106833</v>
      </c>
      <c r="F16" s="842">
        <f>2225975-62000</f>
        <v>2163975</v>
      </c>
      <c r="G16" s="842">
        <f t="shared" si="12"/>
        <v>-738173</v>
      </c>
      <c r="H16" s="841">
        <f t="shared" si="13"/>
        <v>-0.34111900553379776</v>
      </c>
      <c r="K16" s="881" t="s">
        <v>44</v>
      </c>
      <c r="L16" s="842">
        <v>1000000</v>
      </c>
      <c r="M16" s="842">
        <v>1000000</v>
      </c>
      <c r="N16" s="842">
        <f t="shared" si="9"/>
        <v>0</v>
      </c>
      <c r="O16" s="842">
        <v>1000000</v>
      </c>
      <c r="P16" s="842">
        <f t="shared" si="14"/>
        <v>0</v>
      </c>
    </row>
    <row r="17" spans="1:16" ht="15" customHeight="1" x14ac:dyDescent="0.15">
      <c r="A17" s="832" t="s">
        <v>20</v>
      </c>
      <c r="B17" s="842">
        <f>+'RICLASSIFIC. CIVILIST.'!H23</f>
        <v>124724</v>
      </c>
      <c r="C17" s="842">
        <f>+'RICLASSIFIC. CIVILIST.'!I23</f>
        <v>132764</v>
      </c>
      <c r="D17" s="842">
        <f t="shared" si="10"/>
        <v>-8040</v>
      </c>
      <c r="E17" s="841">
        <f t="shared" si="11"/>
        <v>-6.0558585158627339E-2</v>
      </c>
      <c r="F17" s="842">
        <v>108000</v>
      </c>
      <c r="G17" s="842">
        <f>+B17-F17</f>
        <v>16724</v>
      </c>
      <c r="H17" s="843">
        <f t="shared" si="13"/>
        <v>0.15485185185185185</v>
      </c>
      <c r="K17" s="832" t="s">
        <v>45</v>
      </c>
      <c r="L17" s="842">
        <v>0</v>
      </c>
      <c r="M17" s="842">
        <v>159343</v>
      </c>
      <c r="N17" s="842">
        <f t="shared" si="9"/>
        <v>-159343</v>
      </c>
      <c r="O17" s="842">
        <v>0</v>
      </c>
      <c r="P17" s="842">
        <f t="shared" si="14"/>
        <v>0</v>
      </c>
    </row>
    <row r="18" spans="1:16" ht="15" customHeight="1" x14ac:dyDescent="0.15">
      <c r="A18" s="832" t="s">
        <v>21</v>
      </c>
      <c r="B18" s="842">
        <f>+'RICLASSIFIC. CIVILIST.'!H25+'RICLASSIFIC. CIVILIST.'!H26+'RICLASSIFIC. CIVILIST.'!H27+'RICLASSIFIC. CIVILIST.'!H28</f>
        <v>1541046</v>
      </c>
      <c r="C18" s="842">
        <f>+'RICLASSIFIC. CIVILIST.'!I25+'RICLASSIFIC. CIVILIST.'!I26+'RICLASSIFIC. CIVILIST.'!I27</f>
        <v>1572463</v>
      </c>
      <c r="D18" s="842">
        <f t="shared" si="10"/>
        <v>-31417</v>
      </c>
      <c r="E18" s="841">
        <f t="shared" si="11"/>
        <v>-1.9979484413941696E-2</v>
      </c>
      <c r="F18" s="842">
        <v>1495555</v>
      </c>
      <c r="G18" s="842">
        <f t="shared" si="12"/>
        <v>45491</v>
      </c>
      <c r="H18" s="843">
        <f t="shared" si="13"/>
        <v>3.0417470437396149E-2</v>
      </c>
      <c r="K18" s="832" t="s">
        <v>46</v>
      </c>
      <c r="L18" s="842">
        <v>79395</v>
      </c>
      <c r="M18" s="842">
        <v>53191</v>
      </c>
      <c r="N18" s="842">
        <f t="shared" si="9"/>
        <v>26204</v>
      </c>
      <c r="O18" s="842">
        <v>52530</v>
      </c>
      <c r="P18" s="842">
        <f t="shared" si="14"/>
        <v>26865</v>
      </c>
    </row>
    <row r="19" spans="1:16" ht="15" customHeight="1" x14ac:dyDescent="0.15">
      <c r="A19" s="832" t="s">
        <v>23</v>
      </c>
      <c r="B19" s="842">
        <f>+'RICLASSIFIC. CIVILIST.'!H35+'RICLASSIFIC. CIVILIST.'!H37</f>
        <v>6937</v>
      </c>
      <c r="C19" s="842">
        <f>+'RICLASSIFIC. CIVILIST.'!I35+'RICLASSIFIC. CIVILIST.'!I37</f>
        <v>2155</v>
      </c>
      <c r="D19" s="842">
        <f t="shared" si="10"/>
        <v>4782</v>
      </c>
      <c r="E19" s="838">
        <f t="shared" si="11"/>
        <v>2.2190255220417634</v>
      </c>
      <c r="F19" s="842">
        <v>1500</v>
      </c>
      <c r="G19" s="842">
        <f t="shared" si="12"/>
        <v>5437</v>
      </c>
      <c r="H19" s="843">
        <f t="shared" si="13"/>
        <v>3.6246666666666667</v>
      </c>
      <c r="K19" s="832" t="s">
        <v>47</v>
      </c>
      <c r="L19" s="842">
        <v>0</v>
      </c>
      <c r="M19" s="842">
        <v>54430</v>
      </c>
      <c r="N19" s="842">
        <f t="shared" si="9"/>
        <v>-54430</v>
      </c>
      <c r="O19" s="842">
        <v>0</v>
      </c>
      <c r="P19" s="842">
        <f t="shared" si="14"/>
        <v>0</v>
      </c>
    </row>
    <row r="20" spans="1:16" ht="15" customHeight="1" x14ac:dyDescent="0.15">
      <c r="A20" s="832" t="s">
        <v>24</v>
      </c>
      <c r="B20" s="842">
        <f>+'RICLASSIFIC. CIVILIST.'!H30+'RICLASSIFIC. CIVILIST.'!H31</f>
        <v>534896</v>
      </c>
      <c r="C20" s="842">
        <f>+'RICLASSIFIC. CIVILIST.'!I30+'RICLASSIFIC. CIVILIST.'!I31</f>
        <v>596639</v>
      </c>
      <c r="D20" s="842">
        <f t="shared" si="10"/>
        <v>-61743</v>
      </c>
      <c r="E20" s="841">
        <f t="shared" si="11"/>
        <v>-0.10348468672011049</v>
      </c>
      <c r="F20" s="842">
        <v>533551</v>
      </c>
      <c r="G20" s="842">
        <f t="shared" si="12"/>
        <v>1345</v>
      </c>
      <c r="H20" s="843">
        <f t="shared" si="13"/>
        <v>2.520846179652929E-3</v>
      </c>
      <c r="K20" s="881" t="s">
        <v>48</v>
      </c>
      <c r="L20" s="842">
        <v>0</v>
      </c>
      <c r="M20" s="842">
        <v>75476</v>
      </c>
      <c r="N20" s="842">
        <f t="shared" si="9"/>
        <v>-75476</v>
      </c>
      <c r="O20" s="842">
        <v>0</v>
      </c>
      <c r="P20" s="842">
        <f t="shared" si="14"/>
        <v>0</v>
      </c>
    </row>
    <row r="21" spans="1:16" ht="15" customHeight="1" x14ac:dyDescent="0.15">
      <c r="A21" s="832" t="s">
        <v>933</v>
      </c>
      <c r="B21" s="842">
        <f>+'RICLASSIFIC. CIVILIST.'!H33+'RICLASSIFIC. CIVILIST.'!H36</f>
        <v>97575</v>
      </c>
      <c r="C21" s="842">
        <v>79525</v>
      </c>
      <c r="D21" s="842">
        <f t="shared" si="10"/>
        <v>18050</v>
      </c>
      <c r="E21" s="838">
        <f t="shared" si="11"/>
        <v>0.22697265011002829</v>
      </c>
      <c r="F21" s="842">
        <v>0</v>
      </c>
      <c r="G21" s="842">
        <f>+B21-F21</f>
        <v>97575</v>
      </c>
      <c r="H21" s="836" t="s">
        <v>8</v>
      </c>
      <c r="K21" s="881" t="s">
        <v>611</v>
      </c>
      <c r="L21" s="842">
        <v>0</v>
      </c>
      <c r="M21" s="842">
        <v>1596</v>
      </c>
      <c r="N21" s="842">
        <f t="shared" si="9"/>
        <v>-1596</v>
      </c>
      <c r="O21" s="842">
        <v>0</v>
      </c>
      <c r="P21" s="842">
        <f t="shared" si="14"/>
        <v>0</v>
      </c>
    </row>
    <row r="22" spans="1:16" ht="15" customHeight="1" x14ac:dyDescent="0.15">
      <c r="A22" s="832" t="s">
        <v>25</v>
      </c>
      <c r="B22" s="842">
        <f>+'RICLASSIFIC. CIVILIST.'!H45</f>
        <v>209</v>
      </c>
      <c r="C22" s="842">
        <f>+'RICLASSIFIC. CIVILIST.'!I45</f>
        <v>126</v>
      </c>
      <c r="D22" s="842">
        <f>+B22-C22</f>
        <v>83</v>
      </c>
      <c r="E22" s="838">
        <f>+D22/C22</f>
        <v>0.65873015873015872</v>
      </c>
      <c r="F22" s="842">
        <v>0</v>
      </c>
      <c r="G22" s="842">
        <f>+B22-F22</f>
        <v>209</v>
      </c>
      <c r="H22" s="836" t="s">
        <v>8</v>
      </c>
      <c r="K22" s="832" t="s">
        <v>614</v>
      </c>
      <c r="L22" s="842">
        <v>658</v>
      </c>
      <c r="M22" s="842">
        <v>27240</v>
      </c>
      <c r="N22" s="842">
        <f t="shared" si="9"/>
        <v>-26582</v>
      </c>
      <c r="O22" s="842">
        <v>0</v>
      </c>
      <c r="P22" s="842">
        <f t="shared" si="14"/>
        <v>658</v>
      </c>
    </row>
    <row r="23" spans="1:16" ht="15" customHeight="1" x14ac:dyDescent="0.15">
      <c r="A23" s="832" t="s">
        <v>27</v>
      </c>
      <c r="B23" s="842">
        <f>+'RICLASSIFIC. CIVILIST.'!H50</f>
        <v>98082</v>
      </c>
      <c r="C23" s="842">
        <f>+'RICLASSIFIC. CIVILIST.'!I50</f>
        <v>112344</v>
      </c>
      <c r="D23" s="842">
        <f>+B23-C23</f>
        <v>-14262</v>
      </c>
      <c r="E23" s="841">
        <f>+D23/C23</f>
        <v>-0.12694936979277932</v>
      </c>
      <c r="F23" s="842">
        <v>103824</v>
      </c>
      <c r="G23" s="842">
        <f t="shared" si="12"/>
        <v>-5742</v>
      </c>
      <c r="H23" s="841">
        <f>+G23/F23</f>
        <v>-5.5305131761442444E-2</v>
      </c>
      <c r="K23" s="881" t="s">
        <v>755</v>
      </c>
      <c r="L23" s="842">
        <v>37644</v>
      </c>
      <c r="M23" s="842">
        <v>10313</v>
      </c>
      <c r="N23" s="842">
        <f t="shared" si="9"/>
        <v>27331</v>
      </c>
      <c r="O23" s="842">
        <v>78160</v>
      </c>
      <c r="P23" s="842">
        <f t="shared" si="14"/>
        <v>-40516</v>
      </c>
    </row>
    <row r="24" spans="1:16" ht="15" customHeight="1" x14ac:dyDescent="0.15">
      <c r="A24" s="831" t="s">
        <v>30</v>
      </c>
      <c r="B24" s="844">
        <f>SUM(B14:B23)</f>
        <v>3940260</v>
      </c>
      <c r="C24" s="844">
        <f>SUM(C14:C23)</f>
        <v>4588231</v>
      </c>
      <c r="D24" s="844">
        <f>SUM(D14:D23)</f>
        <v>-647971</v>
      </c>
      <c r="E24" s="845">
        <v>9.5322728141645965E-3</v>
      </c>
      <c r="F24" s="844">
        <f>SUM(F14:F23)</f>
        <v>4521105</v>
      </c>
      <c r="G24" s="844">
        <f>SUM(G14:G23)</f>
        <v>-580845</v>
      </c>
      <c r="H24" s="846">
        <v>-0.10763296328134034</v>
      </c>
      <c r="K24" s="881" t="s">
        <v>921</v>
      </c>
      <c r="L24" s="842">
        <v>48506</v>
      </c>
      <c r="M24" s="842">
        <v>11494</v>
      </c>
      <c r="N24" s="842">
        <f t="shared" si="9"/>
        <v>37012</v>
      </c>
      <c r="O24" s="842">
        <v>48515</v>
      </c>
      <c r="P24" s="842">
        <f t="shared" si="14"/>
        <v>-9</v>
      </c>
    </row>
    <row r="25" spans="1:16" ht="15" customHeight="1" x14ac:dyDescent="0.15">
      <c r="A25" s="831" t="s">
        <v>33</v>
      </c>
      <c r="B25" s="844">
        <f>+B10-B24</f>
        <v>7361</v>
      </c>
      <c r="C25" s="844">
        <f>+C10-C24</f>
        <v>160</v>
      </c>
      <c r="D25" s="844">
        <f>+D10-D24</f>
        <v>7201</v>
      </c>
      <c r="E25" s="845">
        <v>1.2369698682216343</v>
      </c>
      <c r="F25" s="844">
        <f>+F10-F24</f>
        <v>0</v>
      </c>
      <c r="G25" s="844">
        <f>+B25-F25</f>
        <v>7361</v>
      </c>
      <c r="H25" s="847" t="s">
        <v>8</v>
      </c>
      <c r="K25" s="880" t="s">
        <v>987</v>
      </c>
      <c r="L25" s="842">
        <v>646</v>
      </c>
      <c r="M25" s="842">
        <v>0</v>
      </c>
      <c r="N25" s="842">
        <f t="shared" si="9"/>
        <v>646</v>
      </c>
      <c r="O25" s="842">
        <v>17500</v>
      </c>
      <c r="P25" s="842">
        <f t="shared" si="14"/>
        <v>-16854</v>
      </c>
    </row>
    <row r="26" spans="1:16" ht="15" customHeight="1" x14ac:dyDescent="0.15">
      <c r="K26" s="880" t="s">
        <v>958</v>
      </c>
      <c r="L26" s="842">
        <v>8319</v>
      </c>
      <c r="M26" s="842">
        <v>0</v>
      </c>
      <c r="N26" s="842">
        <f t="shared" si="9"/>
        <v>8319</v>
      </c>
      <c r="O26" s="842">
        <v>51900</v>
      </c>
      <c r="P26" s="842">
        <f t="shared" si="14"/>
        <v>-43581</v>
      </c>
    </row>
    <row r="27" spans="1:16" ht="15" customHeight="1" x14ac:dyDescent="0.15">
      <c r="K27" s="920" t="s">
        <v>29</v>
      </c>
      <c r="L27" s="844">
        <f>SUM(L14:L26)</f>
        <v>1175168</v>
      </c>
      <c r="M27" s="844">
        <f t="shared" ref="M27:N27" si="15">SUM(M14:M26)</f>
        <v>1605471</v>
      </c>
      <c r="N27" s="844">
        <f t="shared" si="15"/>
        <v>-430303</v>
      </c>
      <c r="O27" s="844">
        <f>SUM(O14:O26)</f>
        <v>1248605</v>
      </c>
      <c r="P27" s="844">
        <f>SUM(P14:P26)</f>
        <v>-73437</v>
      </c>
    </row>
    <row r="28" spans="1:16" ht="15" customHeight="1" x14ac:dyDescent="0.15">
      <c r="K28" s="882"/>
      <c r="L28" s="883"/>
      <c r="M28" s="883"/>
      <c r="N28" s="883"/>
      <c r="O28" s="883"/>
      <c r="P28" s="883"/>
    </row>
    <row r="29" spans="1:16" ht="15" customHeight="1" x14ac:dyDescent="0.15">
      <c r="K29" s="882"/>
      <c r="L29" s="883"/>
      <c r="M29" s="883"/>
      <c r="N29" s="883"/>
      <c r="O29" s="883"/>
      <c r="P29" s="883"/>
    </row>
    <row r="31" spans="1:16" ht="15" customHeight="1" x14ac:dyDescent="0.15">
      <c r="A31" s="831" t="s">
        <v>1131</v>
      </c>
      <c r="B31" s="831">
        <v>2023</v>
      </c>
      <c r="C31" s="831">
        <v>2022</v>
      </c>
      <c r="D31" s="848" t="s">
        <v>1</v>
      </c>
      <c r="E31" s="831" t="s">
        <v>2</v>
      </c>
      <c r="F31" s="831" t="s">
        <v>1123</v>
      </c>
      <c r="G31" s="831" t="s">
        <v>1</v>
      </c>
      <c r="H31" s="848" t="s">
        <v>2</v>
      </c>
      <c r="K31" s="877" t="s">
        <v>831</v>
      </c>
    </row>
    <row r="32" spans="1:16" ht="15" customHeight="1" x14ac:dyDescent="0.15">
      <c r="A32" s="832" t="s">
        <v>85</v>
      </c>
      <c r="B32" s="842">
        <f>+'RICLASSIFIC. CIVILIST.'!H14</f>
        <v>436071</v>
      </c>
      <c r="C32" s="842">
        <f>+'RICLASSIFIC. CIVILIST.'!I14</f>
        <v>507703</v>
      </c>
      <c r="D32" s="842">
        <f>+B32-C32</f>
        <v>-71632</v>
      </c>
      <c r="E32" s="841">
        <f>+D32/C32</f>
        <v>-0.14109036188480273</v>
      </c>
      <c r="F32" s="842">
        <v>442600</v>
      </c>
      <c r="G32" s="842">
        <f>+B32-F32</f>
        <v>-6529</v>
      </c>
      <c r="H32" s="841">
        <f>+G32/F32</f>
        <v>-1.4751468594667872E-2</v>
      </c>
      <c r="K32" s="831" t="s">
        <v>1131</v>
      </c>
      <c r="L32" s="831">
        <v>2023</v>
      </c>
      <c r="M32" s="831">
        <v>2022</v>
      </c>
      <c r="N32" s="831" t="s">
        <v>34</v>
      </c>
      <c r="O32" s="831" t="s">
        <v>1123</v>
      </c>
      <c r="P32" s="921" t="s">
        <v>35</v>
      </c>
    </row>
    <row r="33" spans="1:16" ht="15" customHeight="1" x14ac:dyDescent="0.15">
      <c r="A33" s="852"/>
      <c r="B33" s="852"/>
      <c r="C33" s="853"/>
      <c r="D33" s="854"/>
      <c r="E33" s="855"/>
      <c r="F33" s="852"/>
      <c r="G33" s="854"/>
      <c r="H33" s="852"/>
      <c r="K33" s="832" t="s">
        <v>51</v>
      </c>
      <c r="L33" s="842">
        <v>0</v>
      </c>
      <c r="M33" s="842">
        <v>528</v>
      </c>
      <c r="N33" s="842">
        <f>+L33-M33</f>
        <v>-528</v>
      </c>
      <c r="O33" s="842">
        <v>0</v>
      </c>
      <c r="P33" s="842">
        <f>+L33-O33</f>
        <v>0</v>
      </c>
    </row>
    <row r="34" spans="1:16" ht="15" customHeight="1" x14ac:dyDescent="0.15">
      <c r="A34" s="984" t="s">
        <v>1176</v>
      </c>
      <c r="B34" s="831">
        <v>2023</v>
      </c>
      <c r="C34" s="831">
        <v>2022</v>
      </c>
      <c r="D34" s="848" t="s">
        <v>1</v>
      </c>
      <c r="E34" s="848" t="s">
        <v>2</v>
      </c>
      <c r="F34" s="856"/>
      <c r="G34" s="856"/>
      <c r="H34" s="856"/>
      <c r="K34" s="832" t="s">
        <v>307</v>
      </c>
      <c r="L34" s="842">
        <v>19619</v>
      </c>
      <c r="M34" s="842">
        <v>31979</v>
      </c>
      <c r="N34" s="842">
        <f t="shared" ref="N34:N67" si="16">+L34-M34</f>
        <v>-12360</v>
      </c>
      <c r="O34" s="842">
        <v>19619</v>
      </c>
      <c r="P34" s="842">
        <f t="shared" ref="P34:P67" si="17">+L34-O34</f>
        <v>0</v>
      </c>
    </row>
    <row r="35" spans="1:16" ht="15" customHeight="1" x14ac:dyDescent="0.15">
      <c r="A35" s="832" t="s">
        <v>7</v>
      </c>
      <c r="B35" s="833">
        <f>+'RICLASSIFIC. CIVILIST.'!H44</f>
        <v>28967</v>
      </c>
      <c r="C35" s="834">
        <f>+'RICLASSIFIC. CIVILIST.'!I44</f>
        <v>1874</v>
      </c>
      <c r="D35" s="857">
        <f>+B35-C35</f>
        <v>27093</v>
      </c>
      <c r="E35" s="838">
        <f>+D35/C35</f>
        <v>14.457310565635005</v>
      </c>
      <c r="F35" s="858"/>
      <c r="G35" s="858"/>
      <c r="H35" s="859"/>
      <c r="K35" s="832" t="s">
        <v>49</v>
      </c>
      <c r="L35" s="842">
        <v>12648</v>
      </c>
      <c r="M35" s="842">
        <v>15713</v>
      </c>
      <c r="N35" s="842">
        <f t="shared" si="16"/>
        <v>-3065</v>
      </c>
      <c r="O35" s="842">
        <v>12648</v>
      </c>
      <c r="P35" s="842">
        <f t="shared" si="17"/>
        <v>0</v>
      </c>
    </row>
    <row r="36" spans="1:16" ht="15" customHeight="1" x14ac:dyDescent="0.15">
      <c r="A36" s="832" t="s">
        <v>93</v>
      </c>
      <c r="B36" s="833">
        <f>+'RICLASSIFIC. CIVILIST.'!H13</f>
        <v>989</v>
      </c>
      <c r="C36" s="834">
        <f>+'RICLASSIFIC. CIVILIST.'!I13</f>
        <v>5368</v>
      </c>
      <c r="D36" s="857">
        <f>+B36-C36</f>
        <v>-4379</v>
      </c>
      <c r="E36" s="838">
        <f>+D36/C36</f>
        <v>-0.81576005961251863</v>
      </c>
      <c r="F36" s="858"/>
      <c r="G36" s="858"/>
      <c r="H36" s="859"/>
      <c r="K36" s="832" t="s">
        <v>480</v>
      </c>
      <c r="L36" s="842">
        <v>33005</v>
      </c>
      <c r="M36" s="842">
        <v>51854</v>
      </c>
      <c r="N36" s="842">
        <f t="shared" si="16"/>
        <v>-18849</v>
      </c>
      <c r="O36" s="842">
        <v>33005</v>
      </c>
      <c r="P36" s="842">
        <f t="shared" si="17"/>
        <v>0</v>
      </c>
    </row>
    <row r="37" spans="1:16" ht="15" customHeight="1" x14ac:dyDescent="0.15">
      <c r="K37" s="832" t="s">
        <v>60</v>
      </c>
      <c r="L37" s="842">
        <v>0</v>
      </c>
      <c r="M37" s="842">
        <v>1170</v>
      </c>
      <c r="N37" s="842">
        <f t="shared" si="16"/>
        <v>-1170</v>
      </c>
      <c r="O37" s="842">
        <v>0</v>
      </c>
      <c r="P37" s="842">
        <f t="shared" si="17"/>
        <v>0</v>
      </c>
    </row>
    <row r="38" spans="1:16" ht="15" customHeight="1" x14ac:dyDescent="0.15">
      <c r="A38" s="852"/>
      <c r="B38" s="852"/>
      <c r="C38" s="853"/>
      <c r="D38" s="852"/>
      <c r="E38" s="852"/>
      <c r="F38" s="852"/>
      <c r="G38" s="852"/>
      <c r="H38" s="852"/>
      <c r="K38" s="832" t="s">
        <v>61</v>
      </c>
      <c r="L38" s="842">
        <v>0</v>
      </c>
      <c r="M38" s="842">
        <v>1749</v>
      </c>
      <c r="N38" s="842">
        <f t="shared" si="16"/>
        <v>-1749</v>
      </c>
      <c r="O38" s="842">
        <v>0</v>
      </c>
      <c r="P38" s="842">
        <f t="shared" si="17"/>
        <v>0</v>
      </c>
    </row>
    <row r="39" spans="1:16" ht="15" customHeight="1" x14ac:dyDescent="0.15">
      <c r="A39" s="984" t="s">
        <v>1177</v>
      </c>
      <c r="B39" s="831">
        <v>2023</v>
      </c>
      <c r="C39" s="831">
        <v>2022</v>
      </c>
      <c r="D39" s="861" t="s">
        <v>1</v>
      </c>
      <c r="E39" s="861" t="s">
        <v>2</v>
      </c>
      <c r="F39" s="831" t="s">
        <v>1123</v>
      </c>
      <c r="G39" s="861" t="s">
        <v>1</v>
      </c>
      <c r="H39" s="861" t="s">
        <v>2</v>
      </c>
      <c r="K39" s="832" t="s">
        <v>473</v>
      </c>
      <c r="L39" s="842">
        <v>0</v>
      </c>
      <c r="M39" s="842">
        <v>527</v>
      </c>
      <c r="N39" s="842">
        <f t="shared" si="16"/>
        <v>-527</v>
      </c>
      <c r="O39" s="842">
        <v>0</v>
      </c>
      <c r="P39" s="842">
        <f t="shared" si="17"/>
        <v>0</v>
      </c>
    </row>
    <row r="40" spans="1:16" ht="15" customHeight="1" x14ac:dyDescent="0.15">
      <c r="A40" s="862" t="s">
        <v>13</v>
      </c>
      <c r="B40" s="842">
        <f>+'RICLASSIFIC. CIVILIST.'!H19</f>
        <v>16833</v>
      </c>
      <c r="C40" s="842">
        <f>+'RICLASSIFIC. CIVILIST.'!I19</f>
        <v>101378</v>
      </c>
      <c r="D40" s="842">
        <f>+B40-C40</f>
        <v>-84545</v>
      </c>
      <c r="E40" s="841">
        <f>+D40/C40</f>
        <v>-0.83395805796129341</v>
      </c>
      <c r="F40" s="842">
        <v>75000</v>
      </c>
      <c r="G40" s="842">
        <f>+B40-F40</f>
        <v>-58167</v>
      </c>
      <c r="H40" s="841">
        <f>+G40/F40</f>
        <v>-0.77556000000000003</v>
      </c>
      <c r="K40" s="832" t="s">
        <v>292</v>
      </c>
      <c r="L40" s="842">
        <v>1578</v>
      </c>
      <c r="M40" s="842">
        <v>3589</v>
      </c>
      <c r="N40" s="842">
        <f t="shared" si="16"/>
        <v>-2011</v>
      </c>
      <c r="O40" s="842">
        <v>1577</v>
      </c>
      <c r="P40" s="842">
        <f t="shared" si="17"/>
        <v>1</v>
      </c>
    </row>
    <row r="41" spans="1:16" ht="15" customHeight="1" x14ac:dyDescent="0.15">
      <c r="D41" s="866"/>
      <c r="E41" s="855"/>
      <c r="F41" s="852"/>
      <c r="K41" s="832" t="s">
        <v>64</v>
      </c>
      <c r="L41" s="842">
        <v>0</v>
      </c>
      <c r="M41" s="842">
        <v>1044</v>
      </c>
      <c r="N41" s="842">
        <f t="shared" si="16"/>
        <v>-1044</v>
      </c>
      <c r="O41" s="842">
        <v>0</v>
      </c>
      <c r="P41" s="842">
        <f t="shared" si="17"/>
        <v>0</v>
      </c>
    </row>
    <row r="42" spans="1:16" ht="15" customHeight="1" x14ac:dyDescent="0.15">
      <c r="D42" s="866"/>
      <c r="E42" s="855"/>
      <c r="F42" s="852"/>
      <c r="K42" s="832" t="s">
        <v>63</v>
      </c>
      <c r="L42" s="842">
        <v>0</v>
      </c>
      <c r="M42" s="842">
        <v>2238</v>
      </c>
      <c r="N42" s="842">
        <f t="shared" si="16"/>
        <v>-2238</v>
      </c>
      <c r="O42" s="842">
        <v>0</v>
      </c>
      <c r="P42" s="842">
        <f t="shared" si="17"/>
        <v>0</v>
      </c>
    </row>
    <row r="43" spans="1:16" ht="15" customHeight="1" x14ac:dyDescent="0.15">
      <c r="A43" s="986" t="s">
        <v>1179</v>
      </c>
      <c r="B43" s="831">
        <v>2023</v>
      </c>
      <c r="C43" s="831">
        <v>2022</v>
      </c>
      <c r="D43" s="861" t="s">
        <v>1</v>
      </c>
      <c r="E43" s="861" t="s">
        <v>2</v>
      </c>
      <c r="F43" s="831" t="s">
        <v>1123</v>
      </c>
      <c r="G43" s="861" t="s">
        <v>1</v>
      </c>
      <c r="H43" s="861" t="s">
        <v>2</v>
      </c>
      <c r="K43" s="832" t="s">
        <v>55</v>
      </c>
      <c r="L43" s="842">
        <v>3321</v>
      </c>
      <c r="M43" s="842">
        <v>6644</v>
      </c>
      <c r="N43" s="842">
        <f t="shared" si="16"/>
        <v>-3323</v>
      </c>
      <c r="O43" s="842">
        <v>3322</v>
      </c>
      <c r="P43" s="842">
        <f t="shared" si="17"/>
        <v>-1</v>
      </c>
    </row>
    <row r="44" spans="1:16" ht="15" customHeight="1" x14ac:dyDescent="0.15">
      <c r="A44" s="867" t="s">
        <v>20</v>
      </c>
      <c r="B44" s="868">
        <f>+'RICLASSIFIC. CIVILIST.'!H23</f>
        <v>124724</v>
      </c>
      <c r="C44" s="868">
        <f>+'RICLASSIFIC. CIVILIST.'!I23</f>
        <v>132764</v>
      </c>
      <c r="D44" s="869">
        <f>+B44-C44</f>
        <v>-8040</v>
      </c>
      <c r="E44" s="870">
        <f>+D44/C44</f>
        <v>-6.0558585158627339E-2</v>
      </c>
      <c r="F44" s="863">
        <v>108000</v>
      </c>
      <c r="G44" s="871">
        <f>+B44-F44</f>
        <v>16724</v>
      </c>
      <c r="H44" s="872">
        <f>+G44/F44</f>
        <v>0.15485185185185185</v>
      </c>
      <c r="K44" s="832" t="s">
        <v>54</v>
      </c>
      <c r="L44" s="842">
        <v>6499</v>
      </c>
      <c r="M44" s="842">
        <v>12998.2</v>
      </c>
      <c r="N44" s="842">
        <f t="shared" si="16"/>
        <v>-6499.2000000000007</v>
      </c>
      <c r="O44" s="842">
        <v>6499</v>
      </c>
      <c r="P44" s="842">
        <f t="shared" si="17"/>
        <v>0</v>
      </c>
    </row>
    <row r="45" spans="1:16" ht="15" customHeight="1" x14ac:dyDescent="0.15">
      <c r="D45" s="866"/>
      <c r="E45" s="855"/>
      <c r="F45" s="852"/>
      <c r="K45" s="832" t="s">
        <v>293</v>
      </c>
      <c r="L45" s="842">
        <v>7655</v>
      </c>
      <c r="M45" s="842">
        <v>11322</v>
      </c>
      <c r="N45" s="842">
        <f t="shared" si="16"/>
        <v>-3667</v>
      </c>
      <c r="O45" s="842">
        <v>7658</v>
      </c>
      <c r="P45" s="842">
        <f t="shared" si="17"/>
        <v>-3</v>
      </c>
    </row>
    <row r="46" spans="1:16" ht="15" customHeight="1" x14ac:dyDescent="0.15">
      <c r="D46" s="866"/>
      <c r="E46" s="855"/>
      <c r="F46" s="852"/>
      <c r="K46" s="832" t="s">
        <v>53</v>
      </c>
      <c r="L46" s="842">
        <v>3857</v>
      </c>
      <c r="M46" s="842">
        <v>12767</v>
      </c>
      <c r="N46" s="842">
        <f t="shared" si="16"/>
        <v>-8910</v>
      </c>
      <c r="O46" s="842">
        <v>3271</v>
      </c>
      <c r="P46" s="842">
        <f t="shared" si="17"/>
        <v>586</v>
      </c>
    </row>
    <row r="47" spans="1:16" ht="15" customHeight="1" x14ac:dyDescent="0.15">
      <c r="A47" s="985" t="s">
        <v>173</v>
      </c>
      <c r="B47" s="831">
        <v>2023</v>
      </c>
      <c r="C47" s="831">
        <v>2022</v>
      </c>
      <c r="D47" s="861" t="s">
        <v>1</v>
      </c>
      <c r="E47" s="861" t="s">
        <v>2</v>
      </c>
      <c r="F47" s="831" t="s">
        <v>1123</v>
      </c>
      <c r="G47" s="873" t="s">
        <v>1</v>
      </c>
      <c r="H47" s="873" t="s">
        <v>2</v>
      </c>
      <c r="K47" s="832" t="s">
        <v>52</v>
      </c>
      <c r="L47" s="842">
        <v>2000</v>
      </c>
      <c r="M47" s="842">
        <v>4000</v>
      </c>
      <c r="N47" s="842">
        <f t="shared" si="16"/>
        <v>-2000</v>
      </c>
      <c r="O47" s="842">
        <v>2000</v>
      </c>
      <c r="P47" s="842">
        <f t="shared" si="17"/>
        <v>0</v>
      </c>
    </row>
    <row r="48" spans="1:16" ht="15" customHeight="1" x14ac:dyDescent="0.15">
      <c r="A48" s="832" t="s">
        <v>23</v>
      </c>
      <c r="B48" s="833">
        <f>+B19</f>
        <v>6937</v>
      </c>
      <c r="C48" s="851">
        <f>+C19</f>
        <v>2155</v>
      </c>
      <c r="D48" s="874">
        <f>+B48-C48</f>
        <v>4782</v>
      </c>
      <c r="E48" s="836">
        <f>+D48/C48</f>
        <v>2.2190255220417634</v>
      </c>
      <c r="F48" s="851">
        <v>1500</v>
      </c>
      <c r="G48" s="874">
        <f>+B48-F48</f>
        <v>5437</v>
      </c>
      <c r="H48" s="836">
        <f>+G48/F48</f>
        <v>3.6246666666666667</v>
      </c>
      <c r="K48" s="832" t="s">
        <v>66</v>
      </c>
      <c r="L48" s="842">
        <v>126513</v>
      </c>
      <c r="M48" s="842">
        <v>126513</v>
      </c>
      <c r="N48" s="842">
        <f t="shared" si="16"/>
        <v>0</v>
      </c>
      <c r="O48" s="842">
        <v>126513</v>
      </c>
      <c r="P48" s="842">
        <f t="shared" si="17"/>
        <v>0</v>
      </c>
    </row>
    <row r="49" spans="1:16" ht="15" customHeight="1" x14ac:dyDescent="0.15">
      <c r="D49" s="852"/>
      <c r="E49" s="852"/>
      <c r="F49" s="852"/>
      <c r="K49" s="832" t="s">
        <v>67</v>
      </c>
      <c r="L49" s="842">
        <v>5562</v>
      </c>
      <c r="M49" s="842">
        <v>9416</v>
      </c>
      <c r="N49" s="842">
        <f t="shared" si="16"/>
        <v>-3854</v>
      </c>
      <c r="O49" s="842">
        <v>5562</v>
      </c>
      <c r="P49" s="842">
        <f t="shared" si="17"/>
        <v>0</v>
      </c>
    </row>
    <row r="50" spans="1:16" ht="15" customHeight="1" x14ac:dyDescent="0.15">
      <c r="A50" s="985" t="s">
        <v>1178</v>
      </c>
      <c r="B50" s="831">
        <v>2023</v>
      </c>
      <c r="C50" s="831">
        <v>2022</v>
      </c>
      <c r="D50" s="861" t="s">
        <v>1</v>
      </c>
      <c r="E50" s="861" t="s">
        <v>2</v>
      </c>
      <c r="F50" s="831" t="s">
        <v>1123</v>
      </c>
      <c r="G50" s="873" t="s">
        <v>1</v>
      </c>
      <c r="H50" s="873" t="s">
        <v>2</v>
      </c>
      <c r="K50" s="832" t="s">
        <v>68</v>
      </c>
      <c r="L50" s="842">
        <v>5235</v>
      </c>
      <c r="M50" s="842">
        <v>9090</v>
      </c>
      <c r="N50" s="842">
        <f t="shared" si="16"/>
        <v>-3855</v>
      </c>
      <c r="O50" s="842">
        <v>5235</v>
      </c>
      <c r="P50" s="842">
        <f t="shared" si="17"/>
        <v>0</v>
      </c>
    </row>
    <row r="51" spans="1:16" ht="15" customHeight="1" x14ac:dyDescent="0.15">
      <c r="A51" s="832" t="s">
        <v>21</v>
      </c>
      <c r="B51" s="835">
        <f>+'RICLASSIFIC. CIVILIST.'!H25+'RICLASSIFIC. CIVILIST.'!H26+'RICLASSIFIC. CIVILIST.'!H27+'RICLASSIFIC. CIVILIST.'!H28</f>
        <v>1541046</v>
      </c>
      <c r="C51" s="849">
        <f>+'RICLASSIFIC. CIVILIST.'!I25+'RICLASSIFIC. CIVILIST.'!I26+'RICLASSIFIC. CIVILIST.'!I27</f>
        <v>1572463</v>
      </c>
      <c r="D51" s="850">
        <f>+B51-C51</f>
        <v>-31417</v>
      </c>
      <c r="E51" s="841">
        <f>+D51/C51</f>
        <v>-1.9979484413941696E-2</v>
      </c>
      <c r="F51" s="833">
        <v>1495555</v>
      </c>
      <c r="G51" s="837">
        <f>+B51-F51</f>
        <v>45491</v>
      </c>
      <c r="H51" s="843">
        <f>+G51/F51</f>
        <v>3.0417470437396149E-2</v>
      </c>
      <c r="K51" s="832" t="s">
        <v>69</v>
      </c>
      <c r="L51" s="842">
        <v>3854</v>
      </c>
      <c r="M51" s="842">
        <v>7709</v>
      </c>
      <c r="N51" s="842">
        <f t="shared" si="16"/>
        <v>-3855</v>
      </c>
      <c r="O51" s="842">
        <v>3854</v>
      </c>
      <c r="P51" s="842">
        <f t="shared" si="17"/>
        <v>0</v>
      </c>
    </row>
    <row r="52" spans="1:16" ht="15" customHeight="1" x14ac:dyDescent="0.15">
      <c r="D52" s="866"/>
      <c r="E52" s="855"/>
      <c r="F52" s="852"/>
      <c r="K52" s="832" t="s">
        <v>485</v>
      </c>
      <c r="L52" s="842">
        <v>7709</v>
      </c>
      <c r="M52" s="842">
        <v>15418</v>
      </c>
      <c r="N52" s="842">
        <f t="shared" si="16"/>
        <v>-7709</v>
      </c>
      <c r="O52" s="842">
        <v>7709</v>
      </c>
      <c r="P52" s="842">
        <f t="shared" si="17"/>
        <v>0</v>
      </c>
    </row>
    <row r="53" spans="1:16" ht="15" customHeight="1" x14ac:dyDescent="0.15">
      <c r="A53" s="831" t="s">
        <v>99</v>
      </c>
      <c r="B53" s="831">
        <v>2023</v>
      </c>
      <c r="C53" s="831">
        <v>2022</v>
      </c>
      <c r="D53" s="861" t="s">
        <v>1</v>
      </c>
      <c r="E53" s="861" t="s">
        <v>2</v>
      </c>
      <c r="F53" s="831" t="s">
        <v>1123</v>
      </c>
      <c r="G53" s="873" t="s">
        <v>1</v>
      </c>
      <c r="H53" s="873" t="s">
        <v>2</v>
      </c>
      <c r="K53" s="832" t="s">
        <v>71</v>
      </c>
      <c r="L53" s="842">
        <v>3208</v>
      </c>
      <c r="M53" s="842">
        <v>3208</v>
      </c>
      <c r="N53" s="842">
        <f t="shared" si="16"/>
        <v>0</v>
      </c>
      <c r="O53" s="842">
        <v>3208</v>
      </c>
      <c r="P53" s="842">
        <f t="shared" si="17"/>
        <v>0</v>
      </c>
    </row>
    <row r="54" spans="1:16" ht="15" customHeight="1" x14ac:dyDescent="0.15">
      <c r="A54" s="832" t="s">
        <v>24</v>
      </c>
      <c r="B54" s="833">
        <f>+'RICLASSIFIC. CIVILIST.'!H30+'RICLASSIFIC. CIVILIST.'!H31</f>
        <v>534896</v>
      </c>
      <c r="C54" s="851">
        <f>+'RICLASSIFIC. CIVILIST.'!I30+'RICLASSIFIC. CIVILIST.'!I31</f>
        <v>596639</v>
      </c>
      <c r="D54" s="850">
        <f>+B54-C54</f>
        <v>-61743</v>
      </c>
      <c r="E54" s="840">
        <f>+D54/C54</f>
        <v>-0.10348468672011049</v>
      </c>
      <c r="F54" s="851">
        <v>533551</v>
      </c>
      <c r="G54" s="851">
        <f>+B54-F54</f>
        <v>1345</v>
      </c>
      <c r="H54" s="836">
        <f>+G54/F54</f>
        <v>2.520846179652929E-3</v>
      </c>
      <c r="K54" s="832" t="s">
        <v>72</v>
      </c>
      <c r="L54" s="842">
        <v>2928</v>
      </c>
      <c r="M54" s="842">
        <v>2928</v>
      </c>
      <c r="N54" s="842">
        <f t="shared" si="16"/>
        <v>0</v>
      </c>
      <c r="O54" s="842">
        <v>2928</v>
      </c>
      <c r="P54" s="842">
        <f t="shared" si="17"/>
        <v>0</v>
      </c>
    </row>
    <row r="55" spans="1:16" ht="15" customHeight="1" x14ac:dyDescent="0.15">
      <c r="D55" s="866"/>
      <c r="E55" s="875"/>
      <c r="F55" s="852"/>
      <c r="K55" s="832" t="s">
        <v>74</v>
      </c>
      <c r="L55" s="842">
        <v>2317</v>
      </c>
      <c r="M55" s="842">
        <v>2317</v>
      </c>
      <c r="N55" s="842">
        <f t="shared" si="16"/>
        <v>0</v>
      </c>
      <c r="O55" s="842">
        <v>2317</v>
      </c>
      <c r="P55" s="842">
        <f t="shared" si="17"/>
        <v>0</v>
      </c>
    </row>
    <row r="56" spans="1:16" ht="15" customHeight="1" x14ac:dyDescent="0.15">
      <c r="A56" s="831" t="s">
        <v>1180</v>
      </c>
      <c r="B56" s="831">
        <v>2023</v>
      </c>
      <c r="C56" s="831">
        <v>2022</v>
      </c>
      <c r="D56" s="861" t="s">
        <v>1</v>
      </c>
      <c r="E56" s="861" t="s">
        <v>2</v>
      </c>
      <c r="F56" s="831" t="s">
        <v>1123</v>
      </c>
      <c r="G56" s="873" t="s">
        <v>1</v>
      </c>
      <c r="H56" s="873" t="s">
        <v>2</v>
      </c>
      <c r="K56" s="832" t="s">
        <v>75</v>
      </c>
      <c r="L56" s="842">
        <v>4263</v>
      </c>
      <c r="M56" s="842">
        <v>4263</v>
      </c>
      <c r="N56" s="842">
        <f t="shared" si="16"/>
        <v>0</v>
      </c>
      <c r="O56" s="842">
        <v>4263</v>
      </c>
      <c r="P56" s="842">
        <f t="shared" si="17"/>
        <v>0</v>
      </c>
    </row>
    <row r="57" spans="1:16" ht="12" x14ac:dyDescent="0.15">
      <c r="A57" s="867" t="s">
        <v>27</v>
      </c>
      <c r="B57" s="876">
        <f>+'RICLASSIFIC. CIVILIST.'!H50</f>
        <v>98082</v>
      </c>
      <c r="C57" s="863">
        <f>+'RICLASSIFIC. CIVILIST.'!I50</f>
        <v>112344</v>
      </c>
      <c r="D57" s="864">
        <f>+B57-C57</f>
        <v>-14262</v>
      </c>
      <c r="E57" s="865">
        <f>+D57/C57</f>
        <v>-0.12694936979277932</v>
      </c>
      <c r="F57" s="863">
        <v>103824</v>
      </c>
      <c r="G57" s="864">
        <f>+B57-F57</f>
        <v>-5742</v>
      </c>
      <c r="H57" s="865">
        <f>+G57/F57</f>
        <v>-5.5305131761442444E-2</v>
      </c>
      <c r="K57" s="832" t="s">
        <v>657</v>
      </c>
      <c r="L57" s="842">
        <v>16138</v>
      </c>
      <c r="M57" s="842">
        <v>20202</v>
      </c>
      <c r="N57" s="842">
        <f t="shared" si="16"/>
        <v>-4064</v>
      </c>
      <c r="O57" s="842">
        <v>16138</v>
      </c>
      <c r="P57" s="842">
        <f t="shared" si="17"/>
        <v>0</v>
      </c>
    </row>
    <row r="58" spans="1:16" ht="12" x14ac:dyDescent="0.15">
      <c r="K58" s="832" t="s">
        <v>45</v>
      </c>
      <c r="L58" s="842">
        <v>19036</v>
      </c>
      <c r="M58" s="842">
        <v>15413</v>
      </c>
      <c r="N58" s="842">
        <f t="shared" si="16"/>
        <v>3623</v>
      </c>
      <c r="O58" s="842">
        <v>19036</v>
      </c>
      <c r="P58" s="842">
        <f t="shared" si="17"/>
        <v>0</v>
      </c>
    </row>
    <row r="59" spans="1:16" ht="12" x14ac:dyDescent="0.15">
      <c r="K59" s="832" t="s">
        <v>755</v>
      </c>
      <c r="L59" s="842">
        <v>953</v>
      </c>
      <c r="M59" s="842">
        <v>0</v>
      </c>
      <c r="N59" s="842">
        <f t="shared" si="16"/>
        <v>953</v>
      </c>
      <c r="O59" s="842">
        <v>8000</v>
      </c>
      <c r="P59" s="842">
        <f t="shared" si="17"/>
        <v>-7047</v>
      </c>
    </row>
    <row r="60" spans="1:16" ht="15" customHeight="1" x14ac:dyDescent="0.15">
      <c r="K60" s="832" t="s">
        <v>46</v>
      </c>
      <c r="L60" s="842">
        <v>23247</v>
      </c>
      <c r="M60" s="842">
        <v>23247</v>
      </c>
      <c r="N60" s="842">
        <f t="shared" si="16"/>
        <v>0</v>
      </c>
      <c r="O60" s="842">
        <v>23247</v>
      </c>
      <c r="P60" s="842">
        <f t="shared" si="17"/>
        <v>0</v>
      </c>
    </row>
    <row r="61" spans="1:16" ht="15" customHeight="1" x14ac:dyDescent="0.15">
      <c r="K61" s="832" t="s">
        <v>41</v>
      </c>
      <c r="L61" s="842">
        <v>100668</v>
      </c>
      <c r="M61" s="842">
        <v>91520</v>
      </c>
      <c r="N61" s="842">
        <f t="shared" si="16"/>
        <v>9148</v>
      </c>
      <c r="O61" s="842">
        <v>100668</v>
      </c>
      <c r="P61" s="842">
        <f t="shared" si="17"/>
        <v>0</v>
      </c>
    </row>
    <row r="62" spans="1:16" ht="15" customHeight="1" x14ac:dyDescent="0.15">
      <c r="K62" s="832" t="s">
        <v>753</v>
      </c>
      <c r="L62" s="842">
        <v>4912</v>
      </c>
      <c r="M62" s="842">
        <v>4912</v>
      </c>
      <c r="N62" s="842">
        <f t="shared" si="16"/>
        <v>0</v>
      </c>
      <c r="O62" s="842">
        <v>8978</v>
      </c>
      <c r="P62" s="842">
        <f t="shared" si="17"/>
        <v>-4066</v>
      </c>
    </row>
    <row r="63" spans="1:16" ht="15" customHeight="1" x14ac:dyDescent="0.15">
      <c r="K63" s="832" t="s">
        <v>603</v>
      </c>
      <c r="L63" s="842">
        <v>5276</v>
      </c>
      <c r="M63" s="842">
        <v>5276</v>
      </c>
      <c r="N63" s="842">
        <f t="shared" si="16"/>
        <v>0</v>
      </c>
      <c r="O63" s="842">
        <v>5277</v>
      </c>
      <c r="P63" s="842">
        <f t="shared" si="17"/>
        <v>-1</v>
      </c>
    </row>
    <row r="64" spans="1:16" ht="15" customHeight="1" x14ac:dyDescent="0.15">
      <c r="K64" s="832" t="s">
        <v>710</v>
      </c>
      <c r="L64" s="842">
        <v>8730</v>
      </c>
      <c r="M64" s="842">
        <v>6697</v>
      </c>
      <c r="N64" s="842">
        <f t="shared" si="16"/>
        <v>2033</v>
      </c>
      <c r="O64" s="842">
        <v>4664</v>
      </c>
      <c r="P64" s="842">
        <f t="shared" si="17"/>
        <v>4066</v>
      </c>
    </row>
    <row r="65" spans="1:16" ht="15" customHeight="1" x14ac:dyDescent="0.15">
      <c r="K65" s="832" t="s">
        <v>47</v>
      </c>
      <c r="L65" s="842">
        <v>2904</v>
      </c>
      <c r="M65" s="842">
        <v>1452</v>
      </c>
      <c r="N65" s="842">
        <f t="shared" si="16"/>
        <v>1452</v>
      </c>
      <c r="O65" s="842">
        <v>2904</v>
      </c>
      <c r="P65" s="842">
        <f t="shared" si="17"/>
        <v>0</v>
      </c>
    </row>
    <row r="66" spans="1:16" ht="15" customHeight="1" x14ac:dyDescent="0.15">
      <c r="K66" s="832" t="s">
        <v>987</v>
      </c>
      <c r="L66" s="842">
        <v>0</v>
      </c>
      <c r="M66" s="842">
        <v>0</v>
      </c>
      <c r="N66" s="842">
        <f t="shared" si="16"/>
        <v>0</v>
      </c>
      <c r="O66" s="842">
        <v>2500</v>
      </c>
      <c r="P66" s="842">
        <f t="shared" si="17"/>
        <v>-2500</v>
      </c>
    </row>
    <row r="67" spans="1:16" ht="15" customHeight="1" x14ac:dyDescent="0.15">
      <c r="K67" s="832" t="s">
        <v>977</v>
      </c>
      <c r="L67" s="842">
        <v>2435</v>
      </c>
      <c r="M67" s="842">
        <v>0</v>
      </c>
      <c r="N67" s="842">
        <f t="shared" si="16"/>
        <v>2435</v>
      </c>
      <c r="O67" s="842">
        <v>0</v>
      </c>
      <c r="P67" s="842">
        <f t="shared" si="17"/>
        <v>2435</v>
      </c>
    </row>
    <row r="68" spans="1:16" ht="15" customHeight="1" x14ac:dyDescent="0.15">
      <c r="A68" s="884" t="s">
        <v>941</v>
      </c>
      <c r="K68" s="922"/>
      <c r="L68" s="922">
        <f>SUM(L33:L67)</f>
        <v>436070</v>
      </c>
      <c r="M68" s="922">
        <f t="shared" ref="M68:P68" si="18">SUM(M33:M67)</f>
        <v>507703.2</v>
      </c>
      <c r="N68" s="922">
        <f t="shared" si="18"/>
        <v>-71633.2</v>
      </c>
      <c r="O68" s="922">
        <f t="shared" si="18"/>
        <v>442600</v>
      </c>
      <c r="P68" s="922">
        <f t="shared" si="18"/>
        <v>-6530</v>
      </c>
    </row>
    <row r="69" spans="1:16" ht="15" customHeight="1" x14ac:dyDescent="0.15">
      <c r="A69" s="923" t="s">
        <v>76</v>
      </c>
      <c r="B69" s="923">
        <v>2023</v>
      </c>
      <c r="C69" s="923">
        <v>2022</v>
      </c>
      <c r="D69" s="923" t="s">
        <v>34</v>
      </c>
      <c r="E69" s="923" t="s">
        <v>1123</v>
      </c>
      <c r="F69" s="923" t="s">
        <v>34</v>
      </c>
      <c r="K69" s="885" t="s">
        <v>832</v>
      </c>
    </row>
    <row r="70" spans="1:16" ht="15" customHeight="1" x14ac:dyDescent="0.15">
      <c r="A70" s="664" t="s">
        <v>17</v>
      </c>
      <c r="B70" s="886">
        <v>94156</v>
      </c>
      <c r="C70" s="886">
        <v>76403</v>
      </c>
      <c r="D70" s="886">
        <f>+B70-C70</f>
        <v>17753</v>
      </c>
      <c r="E70" s="886">
        <v>62000</v>
      </c>
      <c r="F70" s="886">
        <f>+B70-E70</f>
        <v>32156</v>
      </c>
      <c r="K70" s="923" t="s">
        <v>87</v>
      </c>
      <c r="L70" s="924">
        <v>2023</v>
      </c>
      <c r="M70" s="924">
        <v>2022</v>
      </c>
      <c r="N70" s="924" t="s">
        <v>34</v>
      </c>
      <c r="O70" s="925" t="s">
        <v>1123</v>
      </c>
      <c r="P70" s="924" t="s">
        <v>34</v>
      </c>
    </row>
    <row r="71" spans="1:16" ht="15" customHeight="1" x14ac:dyDescent="0.15">
      <c r="A71" s="664" t="s">
        <v>78</v>
      </c>
      <c r="B71" s="886">
        <v>154784</v>
      </c>
      <c r="C71" s="886">
        <v>154526</v>
      </c>
      <c r="D71" s="886">
        <f t="shared" ref="D71:D77" si="19">+B71-C71</f>
        <v>258</v>
      </c>
      <c r="E71" s="886">
        <v>156736</v>
      </c>
      <c r="F71" s="886">
        <f t="shared" ref="F71:F77" si="20">+B71-E71</f>
        <v>-1952</v>
      </c>
      <c r="K71" s="664" t="s">
        <v>88</v>
      </c>
      <c r="L71" s="886">
        <v>5256</v>
      </c>
      <c r="M71" s="886">
        <v>26422</v>
      </c>
      <c r="N71" s="886">
        <f>+L71-M71</f>
        <v>-21166</v>
      </c>
      <c r="O71" s="886">
        <v>30000</v>
      </c>
      <c r="P71" s="886">
        <f>+L71-O71</f>
        <v>-24744</v>
      </c>
    </row>
    <row r="72" spans="1:16" ht="15" customHeight="1" x14ac:dyDescent="0.15">
      <c r="A72" s="664" t="s">
        <v>79</v>
      </c>
      <c r="B72" s="886">
        <v>8293</v>
      </c>
      <c r="C72" s="886">
        <v>11283</v>
      </c>
      <c r="D72" s="886">
        <f t="shared" si="19"/>
        <v>-2990</v>
      </c>
      <c r="E72" s="886">
        <v>13000</v>
      </c>
      <c r="F72" s="886">
        <f t="shared" si="20"/>
        <v>-4707</v>
      </c>
      <c r="K72" s="664" t="s">
        <v>17</v>
      </c>
      <c r="L72" s="886">
        <v>87514</v>
      </c>
      <c r="M72" s="886">
        <v>74093</v>
      </c>
      <c r="N72" s="886">
        <f t="shared" ref="N72:N84" si="21">+L72-M72</f>
        <v>13421</v>
      </c>
      <c r="O72" s="886">
        <v>62000</v>
      </c>
      <c r="P72" s="886">
        <f>+L72-O72</f>
        <v>25514</v>
      </c>
    </row>
    <row r="73" spans="1:16" ht="15" customHeight="1" x14ac:dyDescent="0.15">
      <c r="A73" s="664" t="s">
        <v>81</v>
      </c>
      <c r="B73" s="886">
        <v>23095</v>
      </c>
      <c r="C73" s="886">
        <v>41379</v>
      </c>
      <c r="D73" s="886">
        <f t="shared" si="19"/>
        <v>-18284</v>
      </c>
      <c r="E73" s="886">
        <v>44445</v>
      </c>
      <c r="F73" s="886">
        <f t="shared" si="20"/>
        <v>-21350</v>
      </c>
      <c r="K73" s="664" t="s">
        <v>89</v>
      </c>
      <c r="L73" s="886">
        <v>156213</v>
      </c>
      <c r="M73" s="886">
        <v>154526</v>
      </c>
      <c r="N73" s="886">
        <f t="shared" si="21"/>
        <v>1687</v>
      </c>
      <c r="O73" s="886">
        <v>156736</v>
      </c>
      <c r="P73" s="886">
        <f t="shared" ref="P73:P84" si="22">+L73-O73</f>
        <v>-523</v>
      </c>
    </row>
    <row r="74" spans="1:16" ht="15" customHeight="1" x14ac:dyDescent="0.15">
      <c r="A74" s="664" t="s">
        <v>151</v>
      </c>
      <c r="B74" s="886">
        <v>4737</v>
      </c>
      <c r="C74" s="886">
        <v>25412</v>
      </c>
      <c r="D74" s="886">
        <f t="shared" si="19"/>
        <v>-20675</v>
      </c>
      <c r="E74" s="886">
        <v>22500</v>
      </c>
      <c r="F74" s="886">
        <f t="shared" si="20"/>
        <v>-17763</v>
      </c>
      <c r="K74" s="887" t="s">
        <v>165</v>
      </c>
      <c r="L74" s="886">
        <v>978123</v>
      </c>
      <c r="M74" s="886">
        <v>1095567</v>
      </c>
      <c r="N74" s="886">
        <f t="shared" si="21"/>
        <v>-117444</v>
      </c>
      <c r="O74" s="886">
        <f>1004709+8101+14886</f>
        <v>1027696</v>
      </c>
      <c r="P74" s="886">
        <f t="shared" si="22"/>
        <v>-49573</v>
      </c>
    </row>
    <row r="75" spans="1:16" ht="35" customHeight="1" x14ac:dyDescent="0.15">
      <c r="A75" s="888" t="s">
        <v>152</v>
      </c>
      <c r="B75" s="886">
        <v>978123</v>
      </c>
      <c r="C75" s="886">
        <f>1118610-25412+2369</f>
        <v>1095567</v>
      </c>
      <c r="D75" s="886">
        <f t="shared" si="19"/>
        <v>-117444</v>
      </c>
      <c r="E75" s="886">
        <f>1027694+2000</f>
        <v>1029694</v>
      </c>
      <c r="F75" s="886">
        <f t="shared" si="20"/>
        <v>-51571</v>
      </c>
      <c r="K75" s="664" t="s">
        <v>81</v>
      </c>
      <c r="L75" s="886">
        <v>2025</v>
      </c>
      <c r="M75" s="886">
        <v>2370</v>
      </c>
      <c r="N75" s="886">
        <f t="shared" si="21"/>
        <v>-345</v>
      </c>
      <c r="O75" s="886">
        <v>2000</v>
      </c>
      <c r="P75" s="886">
        <f t="shared" si="22"/>
        <v>25</v>
      </c>
    </row>
    <row r="76" spans="1:16" ht="29" customHeight="1" x14ac:dyDescent="0.15">
      <c r="A76" s="664" t="s">
        <v>158</v>
      </c>
      <c r="B76" s="886">
        <f>212998-81455-45719</f>
        <v>85824</v>
      </c>
      <c r="C76" s="886">
        <v>429267</v>
      </c>
      <c r="D76" s="886">
        <f t="shared" si="19"/>
        <v>-343443</v>
      </c>
      <c r="E76" s="886">
        <v>695200</v>
      </c>
      <c r="F76" s="886">
        <f t="shared" si="20"/>
        <v>-609376</v>
      </c>
      <c r="K76" s="664" t="s">
        <v>667</v>
      </c>
      <c r="L76" s="886">
        <v>89491</v>
      </c>
      <c r="M76" s="886">
        <v>8000</v>
      </c>
      <c r="N76" s="886">
        <f t="shared" si="21"/>
        <v>81491</v>
      </c>
      <c r="O76" s="886">
        <v>41100</v>
      </c>
      <c r="P76" s="886">
        <f t="shared" si="22"/>
        <v>48391</v>
      </c>
    </row>
    <row r="77" spans="1:16" ht="15" customHeight="1" x14ac:dyDescent="0.15">
      <c r="A77" s="664" t="s">
        <v>159</v>
      </c>
      <c r="B77" s="886">
        <v>170946</v>
      </c>
      <c r="C77" s="886">
        <v>157000</v>
      </c>
      <c r="D77" s="886">
        <f t="shared" si="19"/>
        <v>13946</v>
      </c>
      <c r="E77" s="886">
        <v>202400</v>
      </c>
      <c r="F77" s="886">
        <f t="shared" si="20"/>
        <v>-31454</v>
      </c>
      <c r="K77" s="664" t="s">
        <v>166</v>
      </c>
      <c r="L77" s="886">
        <v>6290</v>
      </c>
      <c r="M77" s="886">
        <v>25412</v>
      </c>
      <c r="N77" s="886">
        <f t="shared" si="21"/>
        <v>-19122</v>
      </c>
      <c r="O77" s="886">
        <v>24500</v>
      </c>
      <c r="P77" s="886">
        <f t="shared" si="22"/>
        <v>-18210</v>
      </c>
    </row>
    <row r="78" spans="1:16" ht="15" customHeight="1" x14ac:dyDescent="0.15">
      <c r="A78" s="923" t="s">
        <v>84</v>
      </c>
      <c r="B78" s="928">
        <f>SUM(B70:B77)</f>
        <v>1519958</v>
      </c>
      <c r="C78" s="928">
        <f>SUM(C70:C77)</f>
        <v>1990837</v>
      </c>
      <c r="D78" s="928">
        <f>SUM(D70:D77)</f>
        <v>-470879</v>
      </c>
      <c r="E78" s="928">
        <f>SUM(E70:E77)</f>
        <v>2225975</v>
      </c>
      <c r="F78" s="928">
        <f>SUM(F70:F77)</f>
        <v>-706017</v>
      </c>
      <c r="K78" s="664" t="s">
        <v>79</v>
      </c>
      <c r="L78" s="886">
        <v>8360</v>
      </c>
      <c r="M78" s="886">
        <v>11283</v>
      </c>
      <c r="N78" s="886">
        <f t="shared" si="21"/>
        <v>-2923</v>
      </c>
      <c r="O78" s="886">
        <v>13000</v>
      </c>
      <c r="P78" s="886">
        <f t="shared" si="22"/>
        <v>-4640</v>
      </c>
    </row>
    <row r="79" spans="1:16" ht="15" customHeight="1" x14ac:dyDescent="0.15">
      <c r="K79" s="664" t="s">
        <v>21</v>
      </c>
      <c r="L79" s="886">
        <v>1387398</v>
      </c>
      <c r="M79" s="886">
        <v>1278664</v>
      </c>
      <c r="N79" s="886">
        <f t="shared" si="21"/>
        <v>108734</v>
      </c>
      <c r="O79" s="886">
        <v>1345207</v>
      </c>
      <c r="P79" s="886">
        <f t="shared" si="22"/>
        <v>42191</v>
      </c>
    </row>
    <row r="80" spans="1:16" ht="15" customHeight="1" x14ac:dyDescent="0.15">
      <c r="B80" s="930"/>
      <c r="K80" s="664" t="s">
        <v>20</v>
      </c>
      <c r="L80" s="886">
        <v>109326</v>
      </c>
      <c r="M80" s="886">
        <v>106680</v>
      </c>
      <c r="N80" s="886">
        <f t="shared" si="21"/>
        <v>2646</v>
      </c>
      <c r="O80" s="886">
        <v>108000</v>
      </c>
      <c r="P80" s="886">
        <f t="shared" si="22"/>
        <v>1326</v>
      </c>
    </row>
    <row r="81" spans="1:16" ht="15" customHeight="1" x14ac:dyDescent="0.15">
      <c r="K81" s="664" t="s">
        <v>24</v>
      </c>
      <c r="L81" s="886">
        <v>98788</v>
      </c>
      <c r="M81" s="886">
        <v>88935</v>
      </c>
      <c r="N81" s="886">
        <f t="shared" si="21"/>
        <v>9853</v>
      </c>
      <c r="O81" s="886">
        <v>90951</v>
      </c>
      <c r="P81" s="886">
        <f t="shared" si="22"/>
        <v>7837</v>
      </c>
    </row>
    <row r="82" spans="1:16" ht="15" customHeight="1" x14ac:dyDescent="0.15">
      <c r="A82" s="889"/>
      <c r="B82" s="929"/>
      <c r="C82" s="890"/>
      <c r="K82" s="664" t="s">
        <v>23</v>
      </c>
      <c r="L82" s="886">
        <v>2527</v>
      </c>
      <c r="M82" s="886">
        <v>2155</v>
      </c>
      <c r="N82" s="886">
        <f t="shared" si="21"/>
        <v>372</v>
      </c>
      <c r="O82" s="886">
        <v>1500</v>
      </c>
      <c r="P82" s="886">
        <f t="shared" si="22"/>
        <v>1027</v>
      </c>
    </row>
    <row r="83" spans="1:16" ht="15" customHeight="1" x14ac:dyDescent="0.15">
      <c r="A83" s="889"/>
      <c r="B83" s="890"/>
      <c r="C83" s="890"/>
      <c r="K83" s="664" t="s">
        <v>933</v>
      </c>
      <c r="L83" s="886">
        <v>0</v>
      </c>
      <c r="M83" s="886">
        <v>35139</v>
      </c>
      <c r="N83" s="886">
        <f t="shared" si="21"/>
        <v>-35139</v>
      </c>
      <c r="O83" s="886">
        <v>0</v>
      </c>
      <c r="P83" s="886">
        <f t="shared" si="22"/>
        <v>0</v>
      </c>
    </row>
    <row r="84" spans="1:16" ht="15" customHeight="1" x14ac:dyDescent="0.15">
      <c r="A84" s="891"/>
      <c r="B84" s="892"/>
      <c r="C84" s="892"/>
      <c r="K84" s="664" t="s">
        <v>90</v>
      </c>
      <c r="L84" s="886">
        <v>91584</v>
      </c>
      <c r="M84" s="886">
        <v>97866</v>
      </c>
      <c r="N84" s="886">
        <f t="shared" si="21"/>
        <v>-6282</v>
      </c>
      <c r="O84" s="886">
        <v>97310</v>
      </c>
      <c r="P84" s="886">
        <f t="shared" si="22"/>
        <v>-5726</v>
      </c>
    </row>
    <row r="85" spans="1:16" ht="15" customHeight="1" x14ac:dyDescent="0.15">
      <c r="A85" s="891"/>
      <c r="B85" s="892"/>
      <c r="C85" s="892"/>
      <c r="K85" s="923" t="s">
        <v>91</v>
      </c>
      <c r="L85" s="926">
        <f>SUM(L71:L84)</f>
        <v>3022895</v>
      </c>
      <c r="M85" s="926">
        <f t="shared" ref="M85:P85" si="23">SUM(M71:M84)</f>
        <v>3007112</v>
      </c>
      <c r="N85" s="926">
        <f>SUM(N71:N84)</f>
        <v>15783</v>
      </c>
      <c r="O85" s="926">
        <f t="shared" si="23"/>
        <v>3000000</v>
      </c>
      <c r="P85" s="926">
        <f t="shared" si="23"/>
        <v>22895</v>
      </c>
    </row>
    <row r="86" spans="1:16" ht="15" customHeight="1" x14ac:dyDescent="0.15">
      <c r="A86" s="893"/>
      <c r="B86" s="894"/>
      <c r="C86" s="894"/>
    </row>
    <row r="87" spans="1:16" ht="15" customHeight="1" x14ac:dyDescent="0.15">
      <c r="A87" s="889"/>
      <c r="B87" s="895"/>
      <c r="C87" s="895"/>
      <c r="K87" s="896" t="s">
        <v>935</v>
      </c>
    </row>
    <row r="88" spans="1:16" ht="15" customHeight="1" x14ac:dyDescent="0.15">
      <c r="A88" s="891"/>
      <c r="B88" s="892"/>
      <c r="C88" s="892"/>
      <c r="K88" s="923" t="s">
        <v>1132</v>
      </c>
      <c r="L88" s="923">
        <v>2023</v>
      </c>
      <c r="M88" s="923">
        <v>2022</v>
      </c>
      <c r="N88" s="918" t="s">
        <v>34</v>
      </c>
      <c r="O88" s="918" t="s">
        <v>1123</v>
      </c>
      <c r="P88" s="919" t="s">
        <v>35</v>
      </c>
    </row>
    <row r="89" spans="1:16" ht="21.75" customHeight="1" x14ac:dyDescent="0.15">
      <c r="A89" s="891"/>
      <c r="B89" s="892"/>
      <c r="C89" s="892"/>
      <c r="K89" s="897" t="s">
        <v>841</v>
      </c>
      <c r="L89" s="898">
        <v>0</v>
      </c>
      <c r="M89" s="898">
        <v>78322</v>
      </c>
      <c r="N89" s="899">
        <f t="shared" ref="N89:N98" si="24">+L89-M89</f>
        <v>-78322</v>
      </c>
      <c r="O89" s="900">
        <v>0</v>
      </c>
      <c r="P89" s="900">
        <f t="shared" ref="P89:P98" si="25">+L89-O89</f>
        <v>0</v>
      </c>
    </row>
    <row r="90" spans="1:16" ht="15" customHeight="1" x14ac:dyDescent="0.15">
      <c r="A90" s="891"/>
      <c r="B90" s="892"/>
      <c r="C90" s="892"/>
      <c r="K90" s="901" t="s">
        <v>937</v>
      </c>
      <c r="L90" s="902">
        <v>0</v>
      </c>
      <c r="M90" s="902">
        <v>10000</v>
      </c>
      <c r="N90" s="899">
        <f t="shared" si="24"/>
        <v>-10000</v>
      </c>
      <c r="O90" s="900">
        <v>0</v>
      </c>
      <c r="P90" s="900">
        <f t="shared" si="25"/>
        <v>0</v>
      </c>
    </row>
    <row r="91" spans="1:16" ht="15" customHeight="1" x14ac:dyDescent="0.15">
      <c r="A91" s="903"/>
      <c r="B91" s="892"/>
      <c r="C91" s="892"/>
      <c r="K91" s="904" t="s">
        <v>938</v>
      </c>
      <c r="L91" s="905">
        <v>0</v>
      </c>
      <c r="M91" s="905">
        <v>16000</v>
      </c>
      <c r="N91" s="899">
        <f t="shared" si="24"/>
        <v>-16000</v>
      </c>
      <c r="O91" s="906">
        <v>0</v>
      </c>
      <c r="P91" s="900">
        <f t="shared" si="25"/>
        <v>0</v>
      </c>
    </row>
    <row r="92" spans="1:16" ht="18" customHeight="1" x14ac:dyDescent="0.15">
      <c r="A92" s="891"/>
      <c r="B92" s="892"/>
      <c r="C92" s="892"/>
      <c r="K92" s="907" t="s">
        <v>936</v>
      </c>
      <c r="L92" s="900">
        <v>0</v>
      </c>
      <c r="M92" s="900">
        <v>50000</v>
      </c>
      <c r="N92" s="899">
        <f t="shared" si="24"/>
        <v>-50000</v>
      </c>
      <c r="O92" s="900">
        <v>0</v>
      </c>
      <c r="P92" s="900">
        <f t="shared" si="25"/>
        <v>0</v>
      </c>
    </row>
    <row r="93" spans="1:16" ht="15" customHeight="1" x14ac:dyDescent="0.15">
      <c r="A93" s="891"/>
      <c r="B93" s="892"/>
      <c r="C93" s="892"/>
      <c r="K93" s="907" t="s">
        <v>939</v>
      </c>
      <c r="L93" s="900">
        <v>0</v>
      </c>
      <c r="M93" s="900">
        <v>150000</v>
      </c>
      <c r="N93" s="899">
        <f t="shared" si="24"/>
        <v>-150000</v>
      </c>
      <c r="O93" s="900">
        <v>0</v>
      </c>
      <c r="P93" s="900">
        <f t="shared" si="25"/>
        <v>0</v>
      </c>
    </row>
    <row r="94" spans="1:16" ht="15" customHeight="1" x14ac:dyDescent="0.15">
      <c r="A94" s="891"/>
      <c r="B94" s="892"/>
      <c r="C94" s="892"/>
      <c r="K94" s="907" t="s">
        <v>1125</v>
      </c>
      <c r="L94" s="902">
        <v>7906</v>
      </c>
      <c r="M94" s="902">
        <v>0</v>
      </c>
      <c r="N94" s="899">
        <f t="shared" si="24"/>
        <v>7906</v>
      </c>
      <c r="O94" s="900">
        <v>500000</v>
      </c>
      <c r="P94" s="900">
        <f t="shared" si="25"/>
        <v>-492094</v>
      </c>
    </row>
    <row r="95" spans="1:16" ht="14.25" customHeight="1" x14ac:dyDescent="0.15">
      <c r="A95" s="891"/>
      <c r="B95" s="892"/>
      <c r="C95" s="892"/>
      <c r="K95" s="907" t="s">
        <v>1127</v>
      </c>
      <c r="L95" s="902">
        <v>11083</v>
      </c>
      <c r="M95" s="902">
        <v>0</v>
      </c>
      <c r="N95" s="899">
        <f t="shared" si="24"/>
        <v>11083</v>
      </c>
      <c r="O95" s="900">
        <v>40000</v>
      </c>
      <c r="P95" s="900">
        <f t="shared" si="25"/>
        <v>-28917</v>
      </c>
    </row>
    <row r="96" spans="1:16" ht="13" x14ac:dyDescent="0.15">
      <c r="A96" s="891"/>
      <c r="B96" s="892"/>
      <c r="C96" s="892"/>
      <c r="K96" s="907" t="s">
        <v>1122</v>
      </c>
      <c r="L96" s="902">
        <v>10000</v>
      </c>
      <c r="M96" s="902">
        <v>0</v>
      </c>
      <c r="N96" s="899">
        <f t="shared" si="24"/>
        <v>10000</v>
      </c>
      <c r="O96" s="900">
        <v>10000</v>
      </c>
      <c r="P96" s="900">
        <f t="shared" si="25"/>
        <v>0</v>
      </c>
    </row>
    <row r="97" spans="1:16" ht="15" customHeight="1" x14ac:dyDescent="0.15">
      <c r="A97" s="893"/>
      <c r="B97" s="894"/>
      <c r="C97" s="894"/>
      <c r="K97" s="907" t="s">
        <v>1128</v>
      </c>
      <c r="L97" s="902">
        <v>10000</v>
      </c>
      <c r="M97" s="902">
        <v>0</v>
      </c>
      <c r="N97" s="899">
        <f t="shared" si="24"/>
        <v>10000</v>
      </c>
      <c r="O97" s="900">
        <v>10000</v>
      </c>
      <c r="P97" s="900">
        <f t="shared" si="25"/>
        <v>0</v>
      </c>
    </row>
    <row r="98" spans="1:16" ht="15" customHeight="1" x14ac:dyDescent="0.15">
      <c r="A98" s="889"/>
      <c r="B98" s="895"/>
      <c r="C98" s="895"/>
      <c r="K98" s="908" t="s">
        <v>1129</v>
      </c>
      <c r="L98" s="909">
        <v>16000</v>
      </c>
      <c r="M98" s="909">
        <v>0</v>
      </c>
      <c r="N98" s="910">
        <f t="shared" si="24"/>
        <v>16000</v>
      </c>
      <c r="O98" s="910">
        <v>16000</v>
      </c>
      <c r="P98" s="910">
        <f t="shared" si="25"/>
        <v>0</v>
      </c>
    </row>
    <row r="99" spans="1:16" ht="16" customHeight="1" x14ac:dyDescent="0.15">
      <c r="A99" s="891"/>
      <c r="B99" s="892"/>
      <c r="C99" s="892"/>
      <c r="K99" s="831"/>
      <c r="L99" s="927">
        <f>SUM(L89:L98)</f>
        <v>54989</v>
      </c>
      <c r="M99" s="927">
        <f t="shared" ref="M99:P99" si="26">SUM(M89:M98)</f>
        <v>304322</v>
      </c>
      <c r="N99" s="927">
        <f t="shared" si="26"/>
        <v>-249333</v>
      </c>
      <c r="O99" s="927">
        <f t="shared" si="26"/>
        <v>576000</v>
      </c>
      <c r="P99" s="927">
        <f t="shared" si="26"/>
        <v>-521011</v>
      </c>
    </row>
    <row r="100" spans="1:16" ht="15" customHeight="1" x14ac:dyDescent="0.15">
      <c r="A100" s="891"/>
      <c r="B100" s="892"/>
      <c r="C100" s="892"/>
    </row>
    <row r="101" spans="1:16" ht="15" customHeight="1" x14ac:dyDescent="0.15">
      <c r="A101" s="891"/>
      <c r="B101" s="892"/>
      <c r="C101" s="892"/>
    </row>
    <row r="102" spans="1:16" ht="15" customHeight="1" x14ac:dyDescent="0.15">
      <c r="A102" s="891"/>
      <c r="B102" s="892"/>
      <c r="C102" s="892"/>
    </row>
    <row r="103" spans="1:16" ht="18" customHeight="1" x14ac:dyDescent="0.15">
      <c r="A103" s="893"/>
      <c r="B103" s="894"/>
      <c r="C103" s="894"/>
    </row>
    <row r="104" spans="1:16" ht="12" x14ac:dyDescent="0.15">
      <c r="A104" s="889"/>
      <c r="B104" s="895"/>
      <c r="C104" s="895"/>
      <c r="K104" s="911"/>
      <c r="L104" s="912"/>
      <c r="M104" s="912"/>
      <c r="N104" s="913"/>
      <c r="O104" s="912"/>
      <c r="P104" s="912"/>
    </row>
    <row r="105" spans="1:16" ht="13" x14ac:dyDescent="0.15">
      <c r="A105" s="891"/>
      <c r="B105" s="892"/>
      <c r="C105" s="892"/>
      <c r="K105" s="914" t="s">
        <v>1124</v>
      </c>
      <c r="L105" s="915">
        <v>0</v>
      </c>
      <c r="M105" s="915">
        <v>0</v>
      </c>
      <c r="N105" s="916">
        <f t="shared" ref="N105" si="27">+L105-M105</f>
        <v>0</v>
      </c>
      <c r="O105" s="916">
        <v>161800</v>
      </c>
      <c r="P105" s="916">
        <f t="shared" ref="P105" si="28">+L105-O105</f>
        <v>-161800</v>
      </c>
    </row>
    <row r="106" spans="1:16" ht="12" x14ac:dyDescent="0.15">
      <c r="A106" s="891"/>
      <c r="B106" s="892"/>
      <c r="C106" s="892"/>
    </row>
    <row r="107" spans="1:16" ht="15" customHeight="1" x14ac:dyDescent="0.15">
      <c r="A107" s="891"/>
      <c r="B107" s="892"/>
      <c r="C107" s="892"/>
    </row>
    <row r="108" spans="1:16" ht="15" customHeight="1" x14ac:dyDescent="0.15">
      <c r="A108" s="891"/>
      <c r="B108" s="892"/>
      <c r="C108" s="892"/>
    </row>
    <row r="109" spans="1:16" s="917" customFormat="1" ht="15" customHeight="1" x14ac:dyDescent="0.15">
      <c r="A109" s="893"/>
      <c r="B109" s="894"/>
      <c r="C109" s="894"/>
      <c r="D109" s="860"/>
      <c r="E109" s="860"/>
      <c r="F109" s="860"/>
    </row>
    <row r="110" spans="1:16" ht="15" customHeight="1" x14ac:dyDescent="0.15">
      <c r="A110" s="891"/>
      <c r="B110" s="892"/>
      <c r="C110" s="892"/>
    </row>
    <row r="111" spans="1:16" ht="15" customHeight="1" x14ac:dyDescent="0.15">
      <c r="A111" s="893"/>
      <c r="B111" s="894"/>
      <c r="C111" s="894"/>
    </row>
    <row r="115" spans="1:6" ht="15" customHeight="1" x14ac:dyDescent="0.15">
      <c r="A115" s="917"/>
      <c r="B115" s="917"/>
      <c r="C115" s="917"/>
      <c r="D115" s="917"/>
      <c r="E115" s="917"/>
      <c r="F115" s="917"/>
    </row>
  </sheetData>
  <pageMargins left="0.7" right="0.7" top="0.75" bottom="0.75" header="0.3" footer="0.3"/>
  <pageSetup orientation="portrait" r:id="rId1"/>
  <ignoredErrors>
    <ignoredError sqref="C10 M9 L85:M85 L27:N27 L68:P68 L99:P99" formulaRange="1"/>
    <ignoredError sqref="E10 G24 O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16"/>
  <sheetViews>
    <sheetView topLeftCell="C1" zoomScale="155" zoomScaleNormal="149" workbookViewId="0">
      <selection activeCell="H7" sqref="H7"/>
    </sheetView>
  </sheetViews>
  <sheetFormatPr baseColWidth="10" defaultColWidth="14.5" defaultRowHeight="15" customHeight="1" x14ac:dyDescent="0.15"/>
  <cols>
    <col min="1" max="1" width="43.5" customWidth="1"/>
    <col min="2" max="2" width="14.5" customWidth="1"/>
    <col min="3" max="3" width="12.83203125" customWidth="1"/>
    <col min="4" max="4" width="11.83203125" customWidth="1"/>
    <col min="5" max="5" width="9.1640625" bestFit="1" customWidth="1"/>
    <col min="6" max="6" width="15.33203125" customWidth="1"/>
    <col min="7" max="7" width="64.83203125" customWidth="1"/>
    <col min="8" max="8" width="14.1640625" customWidth="1"/>
    <col min="9" max="9" width="11.33203125" customWidth="1"/>
    <col min="10" max="12" width="15.5" customWidth="1"/>
    <col min="13" max="13" width="15.1640625" customWidth="1"/>
    <col min="14" max="21" width="8.83203125" customWidth="1"/>
  </cols>
  <sheetData>
    <row r="1" spans="1:21" ht="12.75" customHeight="1" x14ac:dyDescent="0.2">
      <c r="A1" s="1"/>
      <c r="B1" s="1"/>
      <c r="C1" s="1"/>
      <c r="D1" s="1"/>
      <c r="E1" s="1"/>
      <c r="F1" s="1"/>
      <c r="G1" s="1"/>
      <c r="H1" s="1"/>
      <c r="I1" s="12"/>
      <c r="J1" s="13"/>
      <c r="K1" s="13"/>
      <c r="L1" s="13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">
      <c r="A2" s="14" t="s">
        <v>175</v>
      </c>
      <c r="D2" s="1"/>
      <c r="E2" s="1"/>
      <c r="F2" s="1"/>
      <c r="G2" s="464"/>
      <c r="H2" s="465">
        <v>45291</v>
      </c>
      <c r="I2" s="465">
        <v>44926</v>
      </c>
      <c r="J2" s="15"/>
      <c r="K2" s="15"/>
      <c r="L2" s="15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">
      <c r="A3" s="464" t="s">
        <v>177</v>
      </c>
      <c r="B3" s="465">
        <v>45291</v>
      </c>
      <c r="C3" s="465">
        <v>44926</v>
      </c>
      <c r="D3" s="1"/>
      <c r="E3" s="1"/>
      <c r="F3" s="1"/>
      <c r="G3" s="464" t="s">
        <v>178</v>
      </c>
      <c r="H3" s="677"/>
      <c r="I3" s="477"/>
      <c r="J3" s="13"/>
      <c r="K3" s="13"/>
      <c r="L3" s="13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A4" s="464" t="s">
        <v>179</v>
      </c>
      <c r="B4" s="677"/>
      <c r="C4" s="175"/>
      <c r="D4" s="1"/>
      <c r="E4" s="1"/>
      <c r="F4" s="1"/>
      <c r="G4" s="464" t="s">
        <v>180</v>
      </c>
      <c r="H4" s="467"/>
      <c r="I4" s="467"/>
      <c r="J4" s="17"/>
      <c r="K4" s="13"/>
      <c r="L4" s="13"/>
      <c r="M4" s="1"/>
      <c r="N4" s="1"/>
      <c r="O4" s="1"/>
      <c r="P4" s="1"/>
      <c r="Q4" s="1"/>
      <c r="R4" s="1"/>
      <c r="S4" s="1"/>
      <c r="T4" s="1"/>
      <c r="U4" s="1"/>
    </row>
    <row r="5" spans="1:21" ht="12.75" customHeight="1" x14ac:dyDescent="0.2">
      <c r="A5" s="464" t="s">
        <v>181</v>
      </c>
      <c r="B5" s="677"/>
      <c r="C5" s="466"/>
      <c r="D5" s="1"/>
      <c r="E5" s="1"/>
      <c r="F5" s="1"/>
      <c r="G5" s="175" t="s">
        <v>182</v>
      </c>
      <c r="H5" s="467">
        <v>54989</v>
      </c>
      <c r="I5" s="469">
        <v>304322</v>
      </c>
      <c r="J5" s="19">
        <f>+H5-I5</f>
        <v>-249333</v>
      </c>
      <c r="K5" s="20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1" ht="12.75" customHeight="1" x14ac:dyDescent="0.2">
      <c r="A6" s="175" t="s">
        <v>183</v>
      </c>
      <c r="B6" s="467">
        <v>0</v>
      </c>
      <c r="C6" s="467">
        <v>0</v>
      </c>
      <c r="D6" s="17">
        <f>B6-C6</f>
        <v>0</v>
      </c>
      <c r="E6" s="1"/>
      <c r="F6" s="1"/>
      <c r="G6" s="175" t="s">
        <v>184</v>
      </c>
      <c r="H6" s="467">
        <v>2000000</v>
      </c>
      <c r="I6" s="469">
        <v>2000000</v>
      </c>
      <c r="J6" s="19">
        <f>+H6-I6</f>
        <v>0</v>
      </c>
      <c r="K6" s="20"/>
      <c r="L6" s="20"/>
      <c r="M6" s="1"/>
      <c r="N6" s="1"/>
      <c r="O6" s="1"/>
      <c r="P6" s="1"/>
      <c r="Q6" s="1"/>
      <c r="R6" s="1"/>
      <c r="S6" s="1"/>
      <c r="T6" s="1"/>
      <c r="U6" s="1"/>
    </row>
    <row r="7" spans="1:21" ht="12.75" customHeight="1" x14ac:dyDescent="0.2">
      <c r="A7" s="175" t="s">
        <v>185</v>
      </c>
      <c r="B7" s="467">
        <v>18002</v>
      </c>
      <c r="C7" s="467">
        <v>45115</v>
      </c>
      <c r="D7" s="17">
        <f>B7-C7</f>
        <v>-27113</v>
      </c>
      <c r="E7" s="1"/>
      <c r="F7" s="1"/>
      <c r="G7" s="175" t="s">
        <v>186</v>
      </c>
      <c r="H7" s="467">
        <f>1174510+658</f>
        <v>1175168</v>
      </c>
      <c r="I7" s="469">
        <v>1605471</v>
      </c>
      <c r="J7" s="19">
        <f>+H7-I7</f>
        <v>-430303</v>
      </c>
      <c r="K7" s="20"/>
      <c r="L7" s="155"/>
      <c r="M7" s="1"/>
      <c r="N7" s="1"/>
      <c r="O7" s="1"/>
      <c r="P7" s="1"/>
      <c r="Q7" s="1"/>
      <c r="R7" s="1"/>
      <c r="S7" s="1"/>
      <c r="T7" s="1"/>
      <c r="U7" s="1"/>
    </row>
    <row r="8" spans="1:21" ht="12.75" customHeight="1" x14ac:dyDescent="0.2">
      <c r="A8" s="175" t="s">
        <v>187</v>
      </c>
      <c r="B8" s="467">
        <v>0</v>
      </c>
      <c r="C8" s="467">
        <v>17994</v>
      </c>
      <c r="D8" s="17">
        <f>B8-C8</f>
        <v>-17994</v>
      </c>
      <c r="E8" s="1"/>
      <c r="F8" s="1"/>
      <c r="G8" s="175" t="s">
        <v>188</v>
      </c>
      <c r="H8" s="467">
        <v>128904</v>
      </c>
      <c r="I8" s="469">
        <v>83575</v>
      </c>
      <c r="J8" s="19">
        <f>+H8-I8</f>
        <v>45329</v>
      </c>
      <c r="K8" s="20"/>
      <c r="L8" s="20"/>
      <c r="M8" s="1"/>
      <c r="N8" s="1"/>
      <c r="O8" s="1"/>
      <c r="P8" s="1"/>
      <c r="Q8" s="1"/>
      <c r="R8" s="1"/>
      <c r="S8" s="1"/>
      <c r="T8" s="1"/>
      <c r="U8" s="1"/>
    </row>
    <row r="9" spans="1:21" ht="12.75" customHeight="1" x14ac:dyDescent="0.2">
      <c r="A9" s="345" t="s">
        <v>927</v>
      </c>
      <c r="B9" s="467">
        <v>202611</v>
      </c>
      <c r="C9" s="467">
        <v>80078</v>
      </c>
      <c r="D9" s="17">
        <f>B9-C9</f>
        <v>122533</v>
      </c>
      <c r="E9" s="1"/>
      <c r="F9" s="1"/>
      <c r="H9" s="467"/>
      <c r="I9" s="469"/>
      <c r="J9" s="19"/>
      <c r="K9" s="20"/>
      <c r="L9" s="20"/>
      <c r="M9" s="1"/>
      <c r="N9" s="1"/>
      <c r="O9" s="1"/>
      <c r="P9" s="1"/>
      <c r="Q9" s="1"/>
      <c r="R9" s="1"/>
      <c r="S9" s="1"/>
      <c r="T9" s="1"/>
      <c r="U9" s="1"/>
    </row>
    <row r="10" spans="1:21" ht="12.75" customHeight="1" x14ac:dyDescent="0.2">
      <c r="A10" s="464" t="s">
        <v>189</v>
      </c>
      <c r="B10" s="468">
        <f>SUM(B6:B9)</f>
        <v>220613</v>
      </c>
      <c r="C10" s="468">
        <f>SUM(C6:C9)</f>
        <v>143187</v>
      </c>
      <c r="D10" s="21">
        <f>SUM(D6:D9)</f>
        <v>77426</v>
      </c>
      <c r="E10" s="1"/>
      <c r="F10" s="1"/>
      <c r="G10" s="486" t="s">
        <v>928</v>
      </c>
      <c r="H10" s="467">
        <v>122533</v>
      </c>
      <c r="I10" s="469">
        <v>80078</v>
      </c>
      <c r="K10" s="20"/>
      <c r="L10" s="20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 x14ac:dyDescent="0.2">
      <c r="A11" s="464"/>
      <c r="B11" s="468"/>
      <c r="C11" s="468"/>
      <c r="D11" s="21"/>
      <c r="E11" s="1"/>
      <c r="F11" s="1"/>
      <c r="G11" s="486"/>
      <c r="H11" s="277"/>
      <c r="I11" s="277"/>
      <c r="K11" s="20"/>
      <c r="L11" s="20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75"/>
      <c r="B12" s="467"/>
      <c r="C12" s="467"/>
      <c r="D12" s="17"/>
      <c r="E12" s="1"/>
      <c r="F12" s="1"/>
      <c r="G12" s="464" t="s">
        <v>190</v>
      </c>
      <c r="H12" s="277"/>
      <c r="I12" s="277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464" t="s">
        <v>191</v>
      </c>
      <c r="B13" s="468"/>
      <c r="C13" s="467"/>
      <c r="D13" s="17"/>
      <c r="E13" s="1"/>
      <c r="F13" s="1"/>
      <c r="G13" s="175" t="s">
        <v>192</v>
      </c>
      <c r="H13" s="467">
        <v>989</v>
      </c>
      <c r="I13" s="469">
        <v>5368</v>
      </c>
      <c r="J13" s="19">
        <f>+H13-I13</f>
        <v>-4379</v>
      </c>
      <c r="K13" s="20"/>
      <c r="L13" s="20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75" t="s">
        <v>193</v>
      </c>
      <c r="B14" s="467">
        <v>0</v>
      </c>
      <c r="C14" s="467">
        <v>5415</v>
      </c>
      <c r="D14" s="17">
        <f>B14-C14</f>
        <v>-5415</v>
      </c>
      <c r="E14" s="1"/>
      <c r="F14" s="1"/>
      <c r="G14" s="175" t="s">
        <v>194</v>
      </c>
      <c r="H14" s="467">
        <v>436071</v>
      </c>
      <c r="I14" s="469">
        <v>507703</v>
      </c>
      <c r="J14" s="19">
        <f>+H14-I14</f>
        <v>-71632</v>
      </c>
      <c r="K14" s="20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 x14ac:dyDescent="0.2">
      <c r="A15" s="175" t="s">
        <v>195</v>
      </c>
      <c r="B15" s="467">
        <v>354469</v>
      </c>
      <c r="C15" s="467">
        <v>647546</v>
      </c>
      <c r="D15" s="17">
        <f>B15-C15</f>
        <v>-293077</v>
      </c>
      <c r="E15" s="1"/>
      <c r="F15" s="1"/>
      <c r="G15" s="464" t="s">
        <v>196</v>
      </c>
      <c r="H15" s="468">
        <f>SUM(H5:H14)</f>
        <v>3918654</v>
      </c>
      <c r="I15" s="478">
        <f>SUM(I5:I14)</f>
        <v>4586517</v>
      </c>
      <c r="J15" s="238">
        <f>+H15-I15</f>
        <v>-667863</v>
      </c>
      <c r="K15" s="20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75" t="s">
        <v>197</v>
      </c>
      <c r="B16" s="467">
        <v>406963</v>
      </c>
      <c r="C16" s="467">
        <v>306929</v>
      </c>
      <c r="D16" s="17">
        <f>B16-C16</f>
        <v>100034</v>
      </c>
      <c r="E16" s="1"/>
      <c r="F16" s="1"/>
      <c r="G16" s="277"/>
      <c r="H16" s="277"/>
      <c r="I16" s="277"/>
      <c r="K16" s="20"/>
      <c r="L16" s="20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470" t="s">
        <v>198</v>
      </c>
      <c r="B17" s="471">
        <f>+B16</f>
        <v>406963</v>
      </c>
      <c r="C17" s="471">
        <f>+C16</f>
        <v>306929</v>
      </c>
      <c r="D17" s="22">
        <f>B17-C17</f>
        <v>100034</v>
      </c>
      <c r="E17" s="1"/>
      <c r="F17" s="1"/>
      <c r="G17" s="277"/>
      <c r="H17" s="277"/>
      <c r="I17" s="277"/>
      <c r="K17" s="20"/>
      <c r="L17" s="20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464" t="s">
        <v>199</v>
      </c>
      <c r="B18" s="468">
        <f>B14+B15+B16</f>
        <v>761432</v>
      </c>
      <c r="C18" s="468">
        <f>C14+C15+C16</f>
        <v>959890</v>
      </c>
      <c r="D18" s="21">
        <f>B18-C18</f>
        <v>-198458</v>
      </c>
      <c r="E18" s="1"/>
      <c r="F18" s="1"/>
      <c r="G18" s="464" t="s">
        <v>200</v>
      </c>
      <c r="H18" s="467"/>
      <c r="I18" s="469"/>
      <c r="J18" s="19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75"/>
      <c r="B19" s="467"/>
      <c r="C19" s="467"/>
      <c r="D19" s="17"/>
      <c r="E19" s="1"/>
      <c r="F19" s="1"/>
      <c r="G19" s="175" t="s">
        <v>201</v>
      </c>
      <c r="H19" s="467">
        <v>16833</v>
      </c>
      <c r="I19" s="467">
        <v>101378</v>
      </c>
      <c r="J19" s="19">
        <f>+H19-I19</f>
        <v>-84545</v>
      </c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464" t="s">
        <v>202</v>
      </c>
      <c r="B20" s="468">
        <f>+B10+B18</f>
        <v>982045</v>
      </c>
      <c r="C20" s="468">
        <f>+C10+C18</f>
        <v>1103077</v>
      </c>
      <c r="D20" s="23">
        <f>B20-C20</f>
        <v>-121032</v>
      </c>
      <c r="E20" s="1"/>
      <c r="F20" s="1"/>
      <c r="G20" s="175" t="s">
        <v>203</v>
      </c>
      <c r="H20" s="479"/>
      <c r="I20" s="479"/>
      <c r="J20" s="19" t="s">
        <v>204</v>
      </c>
      <c r="K20" s="20"/>
      <c r="L20" s="20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77"/>
      <c r="B21" s="277"/>
      <c r="C21" s="277"/>
      <c r="E21" s="1"/>
      <c r="F21" s="1"/>
      <c r="G21" s="175" t="s">
        <v>205</v>
      </c>
      <c r="H21" s="467">
        <v>94156</v>
      </c>
      <c r="I21" s="467">
        <v>76403</v>
      </c>
      <c r="J21" s="19">
        <f t="shared" ref="J21:J26" si="0">+H21-I21</f>
        <v>17753</v>
      </c>
      <c r="K21" s="20"/>
      <c r="L21" s="20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75"/>
      <c r="B22" s="467"/>
      <c r="C22" s="467"/>
      <c r="D22" s="17"/>
      <c r="E22" s="1"/>
      <c r="F22" s="1"/>
      <c r="G22" s="175" t="s">
        <v>206</v>
      </c>
      <c r="H22" s="467">
        <f>1370242+55560</f>
        <v>1425802</v>
      </c>
      <c r="I22" s="467">
        <v>1914434</v>
      </c>
      <c r="J22" s="19">
        <f t="shared" si="0"/>
        <v>-488632</v>
      </c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75"/>
      <c r="B23" s="467"/>
      <c r="C23" s="467"/>
      <c r="D23" s="17"/>
      <c r="E23" s="1"/>
      <c r="F23" s="1"/>
      <c r="G23" s="175" t="s">
        <v>207</v>
      </c>
      <c r="H23" s="467">
        <v>124724</v>
      </c>
      <c r="I23" s="467">
        <v>132764</v>
      </c>
      <c r="J23" s="19">
        <f t="shared" si="0"/>
        <v>-8040</v>
      </c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464" t="s">
        <v>208</v>
      </c>
      <c r="B24" s="468"/>
      <c r="C24" s="467"/>
      <c r="D24" s="17"/>
      <c r="E24" s="1"/>
      <c r="F24" s="1"/>
      <c r="G24" s="175" t="s">
        <v>209</v>
      </c>
      <c r="H24" s="467"/>
      <c r="I24" s="479"/>
      <c r="J24" s="19">
        <f t="shared" si="0"/>
        <v>0</v>
      </c>
      <c r="K24" s="20"/>
      <c r="L24" s="20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75" t="s">
        <v>210</v>
      </c>
      <c r="B25" s="467"/>
      <c r="C25" s="467"/>
      <c r="D25" s="17"/>
      <c r="E25" s="1"/>
      <c r="F25" s="1"/>
      <c r="G25" s="175" t="s">
        <v>211</v>
      </c>
      <c r="H25" s="467">
        <v>990771</v>
      </c>
      <c r="I25" s="467">
        <v>1072797</v>
      </c>
      <c r="J25" s="19">
        <f t="shared" si="0"/>
        <v>-82026</v>
      </c>
      <c r="K25" s="20"/>
      <c r="L25" s="20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75" t="s">
        <v>212</v>
      </c>
      <c r="B26" s="467">
        <v>110900</v>
      </c>
      <c r="C26" s="467">
        <v>70000</v>
      </c>
      <c r="D26" s="17">
        <f>+B26-C26</f>
        <v>40900</v>
      </c>
      <c r="E26" s="1"/>
      <c r="F26" s="1"/>
      <c r="G26" s="175" t="s">
        <v>213</v>
      </c>
      <c r="H26" s="467">
        <f>265222+7444</f>
        <v>272666</v>
      </c>
      <c r="I26" s="467">
        <v>320881</v>
      </c>
      <c r="J26" s="19">
        <f t="shared" si="0"/>
        <v>-48215</v>
      </c>
      <c r="K26" s="20"/>
      <c r="L26" s="20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470" t="s">
        <v>214</v>
      </c>
      <c r="B27" s="471">
        <f>+B26</f>
        <v>110900</v>
      </c>
      <c r="C27" s="471">
        <f>+C26</f>
        <v>70000</v>
      </c>
      <c r="D27" s="22">
        <f t="shared" ref="D27:D35" si="1">+B27-C27</f>
        <v>40900</v>
      </c>
      <c r="E27" s="1"/>
      <c r="F27" s="1"/>
      <c r="G27" s="175" t="s">
        <v>215</v>
      </c>
      <c r="H27" s="467">
        <v>270392</v>
      </c>
      <c r="I27" s="467">
        <v>178785</v>
      </c>
      <c r="J27" s="19">
        <f>+H27-I27</f>
        <v>91607</v>
      </c>
      <c r="K27" s="20"/>
      <c r="L27" s="20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75" t="s">
        <v>216</v>
      </c>
      <c r="B28" s="467">
        <f>49434+60000</f>
        <v>109434</v>
      </c>
      <c r="C28" s="467">
        <v>11494</v>
      </c>
      <c r="D28" s="17">
        <f t="shared" si="1"/>
        <v>97940</v>
      </c>
      <c r="E28" s="1"/>
      <c r="F28" s="1"/>
      <c r="G28" s="175" t="s">
        <v>217</v>
      </c>
      <c r="H28" s="467">
        <v>7217</v>
      </c>
      <c r="I28" s="467">
        <v>0</v>
      </c>
      <c r="J28" s="19">
        <f>+H28-I28</f>
        <v>7217</v>
      </c>
      <c r="K28" s="20"/>
      <c r="L28" s="20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470" t="s">
        <v>214</v>
      </c>
      <c r="B29" s="471">
        <f>+B28</f>
        <v>109434</v>
      </c>
      <c r="C29" s="471">
        <f>+C28</f>
        <v>11494</v>
      </c>
      <c r="D29" s="22">
        <f t="shared" si="1"/>
        <v>97940</v>
      </c>
      <c r="E29" s="1"/>
      <c r="F29" s="1"/>
      <c r="G29" s="175" t="s">
        <v>218</v>
      </c>
      <c r="H29" s="467"/>
      <c r="I29" s="479"/>
      <c r="J29" s="17"/>
      <c r="K29" s="12"/>
      <c r="L29" s="12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75" t="s">
        <v>219</v>
      </c>
      <c r="B30" s="467">
        <v>61314</v>
      </c>
      <c r="C30" s="467">
        <v>39061</v>
      </c>
      <c r="D30" s="17">
        <f t="shared" si="1"/>
        <v>22253</v>
      </c>
      <c r="E30" s="1"/>
      <c r="F30" s="1"/>
      <c r="G30" s="175" t="s">
        <v>220</v>
      </c>
      <c r="H30" s="467">
        <v>45106</v>
      </c>
      <c r="I30" s="467">
        <v>65841</v>
      </c>
      <c r="J30" s="19">
        <f t="shared" ref="J30:J38" si="2">+H30-I30</f>
        <v>-20735</v>
      </c>
      <c r="K30" s="20"/>
      <c r="L30" s="20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470" t="s">
        <v>214</v>
      </c>
      <c r="B31" s="471">
        <f>+B30</f>
        <v>61314</v>
      </c>
      <c r="C31" s="471">
        <f>+C30</f>
        <v>39061</v>
      </c>
      <c r="D31" s="22">
        <f t="shared" si="1"/>
        <v>22253</v>
      </c>
      <c r="E31" s="1"/>
      <c r="F31" s="1"/>
      <c r="G31" s="175" t="s">
        <v>221</v>
      </c>
      <c r="H31" s="467">
        <f>489790</f>
        <v>489790</v>
      </c>
      <c r="I31" s="467">
        <v>530798</v>
      </c>
      <c r="J31" s="19">
        <f t="shared" si="2"/>
        <v>-41008</v>
      </c>
      <c r="K31" s="20"/>
      <c r="L31" s="20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75" t="s">
        <v>222</v>
      </c>
      <c r="B32" s="467">
        <v>4909</v>
      </c>
      <c r="C32" s="467">
        <v>12528</v>
      </c>
      <c r="D32" s="17">
        <f t="shared" si="1"/>
        <v>-7619</v>
      </c>
      <c r="E32" s="1"/>
      <c r="F32" s="1"/>
      <c r="G32" s="175" t="s">
        <v>223</v>
      </c>
      <c r="H32" s="467">
        <v>0</v>
      </c>
      <c r="I32" s="467">
        <v>0</v>
      </c>
      <c r="J32" s="19">
        <f t="shared" si="2"/>
        <v>0</v>
      </c>
      <c r="K32" s="20"/>
      <c r="L32" s="20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470" t="s">
        <v>214</v>
      </c>
      <c r="B33" s="471">
        <f>+B32</f>
        <v>4909</v>
      </c>
      <c r="C33" s="471">
        <f>+C32</f>
        <v>12528</v>
      </c>
      <c r="D33" s="22">
        <f t="shared" si="1"/>
        <v>-7619</v>
      </c>
      <c r="E33" s="1"/>
      <c r="F33" s="1"/>
      <c r="G33" s="175" t="s">
        <v>224</v>
      </c>
      <c r="H33" s="467">
        <v>89087</v>
      </c>
      <c r="I33" s="467">
        <v>74068</v>
      </c>
      <c r="J33" s="19">
        <f t="shared" si="2"/>
        <v>15019</v>
      </c>
      <c r="K33" s="20"/>
      <c r="L33" s="20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75" t="s">
        <v>225</v>
      </c>
      <c r="B34" s="472">
        <f>277925+8714</f>
        <v>286639</v>
      </c>
      <c r="C34" s="472">
        <v>715576</v>
      </c>
      <c r="D34" s="17">
        <f t="shared" si="1"/>
        <v>-428937</v>
      </c>
      <c r="E34" s="1"/>
      <c r="F34" s="1"/>
      <c r="G34" s="175" t="s">
        <v>226</v>
      </c>
      <c r="H34" s="467">
        <v>0</v>
      </c>
      <c r="I34" s="467">
        <v>0</v>
      </c>
      <c r="J34" s="19">
        <f t="shared" si="2"/>
        <v>0</v>
      </c>
      <c r="K34" s="20"/>
      <c r="L34" s="20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470" t="s">
        <v>214</v>
      </c>
      <c r="B35" s="471">
        <f>+B34</f>
        <v>286639</v>
      </c>
      <c r="C35" s="471">
        <f>+C34</f>
        <v>715576</v>
      </c>
      <c r="D35" s="22">
        <f t="shared" si="1"/>
        <v>-428937</v>
      </c>
      <c r="E35" s="1"/>
      <c r="F35" s="1"/>
      <c r="G35" s="175" t="s">
        <v>227</v>
      </c>
      <c r="H35" s="479">
        <v>2344</v>
      </c>
      <c r="I35" s="277">
        <v>1171</v>
      </c>
      <c r="J35" s="19">
        <f t="shared" si="2"/>
        <v>1173</v>
      </c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464" t="s">
        <v>228</v>
      </c>
      <c r="B36" s="468">
        <f>+B26+B28+B30+B32+B34</f>
        <v>573196</v>
      </c>
      <c r="C36" s="468">
        <f>C34+C32+C30+C28+C26</f>
        <v>848659</v>
      </c>
      <c r="D36" s="23">
        <f>B36-C36</f>
        <v>-275463</v>
      </c>
      <c r="E36" s="1"/>
      <c r="F36" s="1"/>
      <c r="G36" s="345" t="s">
        <v>803</v>
      </c>
      <c r="H36" s="467">
        <v>8488</v>
      </c>
      <c r="I36" s="467">
        <v>5457</v>
      </c>
      <c r="J36" s="19">
        <f t="shared" si="2"/>
        <v>3031</v>
      </c>
      <c r="K36" s="20"/>
      <c r="L36" s="20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75"/>
      <c r="B37" s="467"/>
      <c r="C37" s="467"/>
      <c r="D37" s="17"/>
      <c r="E37" s="1"/>
      <c r="F37" s="1"/>
      <c r="G37" s="345" t="s">
        <v>229</v>
      </c>
      <c r="H37" s="467">
        <v>4593</v>
      </c>
      <c r="I37" s="467">
        <v>984</v>
      </c>
      <c r="J37" s="19">
        <f t="shared" si="2"/>
        <v>3609</v>
      </c>
      <c r="K37" s="20"/>
      <c r="L37" s="20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75" t="s">
        <v>231</v>
      </c>
      <c r="B38" s="277"/>
      <c r="C38" s="277"/>
      <c r="E38" s="1"/>
      <c r="F38" s="1"/>
      <c r="G38" s="464" t="s">
        <v>230</v>
      </c>
      <c r="H38" s="478">
        <f>SUM(H19:H37)</f>
        <v>3841969</v>
      </c>
      <c r="I38" s="478">
        <f>SUM(I19:I37)</f>
        <v>4475761</v>
      </c>
      <c r="J38" s="19">
        <f t="shared" si="2"/>
        <v>-633792</v>
      </c>
      <c r="K38" s="20"/>
      <c r="L38" s="20"/>
      <c r="M38" s="17">
        <f>+H25+H26+H27+H33+H50-10200</f>
        <v>1710798</v>
      </c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75" t="s">
        <v>232</v>
      </c>
      <c r="B39" s="467">
        <v>1711639</v>
      </c>
      <c r="C39" s="467">
        <v>826145</v>
      </c>
      <c r="D39" s="17">
        <f>+B39-C39</f>
        <v>885494</v>
      </c>
      <c r="E39" s="1"/>
      <c r="F39" s="1"/>
      <c r="G39" s="175"/>
      <c r="H39" s="467"/>
      <c r="I39" s="479"/>
      <c r="J39" s="19"/>
      <c r="K39" s="20"/>
      <c r="L39" s="20"/>
      <c r="M39" s="300">
        <v>1401469</v>
      </c>
      <c r="N39" s="5" t="s">
        <v>931</v>
      </c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75" t="s">
        <v>233</v>
      </c>
      <c r="B40" s="479">
        <v>429</v>
      </c>
      <c r="C40" s="467">
        <v>467</v>
      </c>
      <c r="D40" s="17">
        <f>+B40-C40</f>
        <v>-38</v>
      </c>
      <c r="E40" s="1"/>
      <c r="F40" s="1"/>
      <c r="G40" s="464" t="s">
        <v>234</v>
      </c>
      <c r="H40" s="468">
        <f>+H15-H38</f>
        <v>76685</v>
      </c>
      <c r="I40" s="478">
        <f>I15-I38</f>
        <v>110756</v>
      </c>
      <c r="J40" s="19">
        <f>+H40-I40</f>
        <v>-34071</v>
      </c>
      <c r="K40" s="20"/>
      <c r="L40" s="20"/>
      <c r="M40" s="300">
        <v>347207</v>
      </c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464" t="s">
        <v>235</v>
      </c>
      <c r="B41" s="468">
        <f>SUM(B39:B40)</f>
        <v>1712068</v>
      </c>
      <c r="C41" s="468">
        <f>SUM(C39:C40)</f>
        <v>826612</v>
      </c>
      <c r="D41" s="21">
        <f>B41-C41</f>
        <v>885456</v>
      </c>
      <c r="E41" s="1"/>
      <c r="F41" s="1"/>
      <c r="G41" s="175"/>
      <c r="H41" s="467"/>
      <c r="I41" s="479"/>
      <c r="J41" s="19"/>
      <c r="K41" s="20"/>
      <c r="L41" s="20"/>
      <c r="M41" s="168">
        <f>+M39+M40</f>
        <v>1748676</v>
      </c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75"/>
      <c r="B42" s="467"/>
      <c r="C42" s="467"/>
      <c r="D42" s="17"/>
      <c r="E42" s="1"/>
      <c r="F42" s="1"/>
      <c r="G42" s="464" t="s">
        <v>236</v>
      </c>
      <c r="H42" s="468"/>
      <c r="I42" s="479"/>
      <c r="J42" s="19"/>
      <c r="K42" s="20"/>
      <c r="L42" s="20"/>
      <c r="M42" s="168">
        <f>+M38-M41</f>
        <v>-37878</v>
      </c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464" t="s">
        <v>237</v>
      </c>
      <c r="B43" s="468">
        <f>+B36+B41</f>
        <v>2285264</v>
      </c>
      <c r="C43" s="468">
        <f>C41+C36</f>
        <v>1675271</v>
      </c>
      <c r="D43" s="21">
        <f>B43-C43</f>
        <v>609993</v>
      </c>
      <c r="E43" s="1"/>
      <c r="F43" s="1"/>
      <c r="G43" s="175" t="s">
        <v>238</v>
      </c>
      <c r="H43" s="467"/>
      <c r="I43" s="479"/>
      <c r="J43" s="19"/>
      <c r="K43" s="20"/>
      <c r="L43" s="20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75"/>
      <c r="B44" s="467"/>
      <c r="C44" s="467"/>
      <c r="D44" s="17"/>
      <c r="E44" s="1"/>
      <c r="F44" s="1"/>
      <c r="G44" s="175" t="s">
        <v>239</v>
      </c>
      <c r="H44" s="472">
        <v>28967</v>
      </c>
      <c r="I44" s="472">
        <v>1874</v>
      </c>
      <c r="J44" s="19">
        <f>+H44-I44</f>
        <v>27093</v>
      </c>
      <c r="K44" s="20"/>
      <c r="L44" s="20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464" t="s">
        <v>240</v>
      </c>
      <c r="B45" s="468"/>
      <c r="C45" s="467"/>
      <c r="D45" s="17"/>
      <c r="E45" s="1"/>
      <c r="F45" s="1"/>
      <c r="G45" s="175" t="s">
        <v>241</v>
      </c>
      <c r="H45" s="467">
        <v>209</v>
      </c>
      <c r="I45" s="467">
        <v>126</v>
      </c>
      <c r="J45" s="19">
        <f>+H45-I45</f>
        <v>83</v>
      </c>
      <c r="K45" s="20"/>
      <c r="L45" s="20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464" t="s">
        <v>242</v>
      </c>
      <c r="B46" s="468">
        <v>52845</v>
      </c>
      <c r="C46" s="468">
        <v>32450</v>
      </c>
      <c r="D46" s="21">
        <f>B46-C46</f>
        <v>20395</v>
      </c>
      <c r="E46" s="1"/>
      <c r="F46" s="1"/>
      <c r="G46" s="464" t="s">
        <v>243</v>
      </c>
      <c r="H46" s="468">
        <f>+H44-H45</f>
        <v>28758</v>
      </c>
      <c r="I46" s="468">
        <f>+I44-I45</f>
        <v>1748</v>
      </c>
      <c r="J46" s="19">
        <f>+H46-I46</f>
        <v>27010</v>
      </c>
      <c r="K46" s="20"/>
      <c r="L46" s="20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75"/>
      <c r="B47" s="467"/>
      <c r="C47" s="467"/>
      <c r="D47" s="17"/>
      <c r="E47" s="1"/>
      <c r="F47" s="1"/>
      <c r="G47" s="175"/>
      <c r="H47" s="467"/>
      <c r="I47" s="479"/>
      <c r="J47" s="19">
        <f t="shared" ref="J47:J52" si="3">+H47-I47</f>
        <v>0</v>
      </c>
      <c r="K47" s="20"/>
      <c r="L47" s="20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473" t="s">
        <v>244</v>
      </c>
      <c r="B48" s="474">
        <f>+B20+B43+B46</f>
        <v>3320154</v>
      </c>
      <c r="C48" s="474">
        <f>C46+C43+C20</f>
        <v>2810798</v>
      </c>
      <c r="D48" s="21">
        <f>B48-C48</f>
        <v>509356</v>
      </c>
      <c r="E48" s="1"/>
      <c r="F48" s="1"/>
      <c r="G48" s="175"/>
      <c r="H48" s="467"/>
      <c r="I48" s="479"/>
      <c r="J48" s="19">
        <f t="shared" si="3"/>
        <v>0</v>
      </c>
      <c r="K48" s="20"/>
      <c r="L48" s="20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7"/>
      <c r="C49" s="17"/>
      <c r="D49" s="17"/>
      <c r="E49" s="1"/>
      <c r="F49" s="1"/>
      <c r="G49" s="464" t="s">
        <v>245</v>
      </c>
      <c r="H49" s="468">
        <f>+H40+H46</f>
        <v>105443</v>
      </c>
      <c r="I49" s="468">
        <f>+I40+I46</f>
        <v>112504</v>
      </c>
      <c r="J49" s="19">
        <f t="shared" si="3"/>
        <v>-7061</v>
      </c>
      <c r="K49" s="20"/>
      <c r="L49" s="20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7"/>
      <c r="C50" s="17"/>
      <c r="D50" s="17"/>
      <c r="E50" s="1"/>
      <c r="F50" s="1"/>
      <c r="G50" s="175" t="s">
        <v>246</v>
      </c>
      <c r="H50" s="467">
        <v>98082</v>
      </c>
      <c r="I50" s="467">
        <v>112344</v>
      </c>
      <c r="J50" s="19">
        <f t="shared" si="3"/>
        <v>-14262</v>
      </c>
      <c r="K50" s="20"/>
      <c r="L50" s="20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464" t="s">
        <v>247</v>
      </c>
      <c r="B51" s="465">
        <v>45291</v>
      </c>
      <c r="C51" s="465">
        <v>44926</v>
      </c>
      <c r="D51" s="17"/>
      <c r="E51" s="1"/>
      <c r="F51" s="1"/>
      <c r="G51" s="175"/>
      <c r="H51" s="467"/>
      <c r="I51" s="479"/>
      <c r="J51" s="19">
        <f t="shared" si="3"/>
        <v>0</v>
      </c>
      <c r="K51" s="13"/>
      <c r="L51" s="13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464" t="s">
        <v>248</v>
      </c>
      <c r="B52" s="468"/>
      <c r="C52" s="467"/>
      <c r="D52" s="17"/>
      <c r="E52" s="1"/>
      <c r="F52" s="1"/>
      <c r="G52" s="464" t="s">
        <v>249</v>
      </c>
      <c r="H52" s="468">
        <f>+H49-H50</f>
        <v>7361</v>
      </c>
      <c r="I52" s="468">
        <f>+I49-I50</f>
        <v>160</v>
      </c>
      <c r="J52" s="19">
        <f t="shared" si="3"/>
        <v>7201</v>
      </c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75" t="s">
        <v>250</v>
      </c>
      <c r="B53" s="467">
        <v>166600</v>
      </c>
      <c r="C53" s="467">
        <v>166600</v>
      </c>
      <c r="D53" s="17">
        <f>B53-C53</f>
        <v>0</v>
      </c>
      <c r="E53" s="1"/>
      <c r="F53" s="1"/>
      <c r="G53" s="1"/>
      <c r="H53" s="18"/>
      <c r="I53" s="12"/>
      <c r="J53" s="13"/>
      <c r="K53" s="27"/>
      <c r="L53" s="27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75" t="s">
        <v>251</v>
      </c>
      <c r="B54" s="467"/>
      <c r="C54" s="467"/>
      <c r="D54" s="17"/>
      <c r="E54" s="1"/>
      <c r="F54" s="1"/>
      <c r="G54" s="1"/>
      <c r="H54" s="18"/>
      <c r="I54" s="12"/>
      <c r="J54" s="13"/>
      <c r="K54" s="13"/>
      <c r="L54" s="13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75" t="s">
        <v>252</v>
      </c>
      <c r="B55" s="467">
        <v>142976</v>
      </c>
      <c r="C55" s="467">
        <v>142816</v>
      </c>
      <c r="D55" s="17">
        <f>B55-C55</f>
        <v>160</v>
      </c>
      <c r="E55" s="1"/>
      <c r="F55" s="1"/>
      <c r="G55" s="1"/>
      <c r="H55" s="18"/>
      <c r="I55" s="12"/>
      <c r="J55" s="27"/>
      <c r="K55" s="13"/>
      <c r="L55" s="13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75" t="s">
        <v>253</v>
      </c>
      <c r="B56" s="467">
        <v>601713</v>
      </c>
      <c r="C56" s="467">
        <v>601713</v>
      </c>
      <c r="D56" s="17">
        <f>B56-C56</f>
        <v>0</v>
      </c>
      <c r="E56" s="1"/>
      <c r="F56" s="1"/>
      <c r="G56" s="5"/>
      <c r="H56" s="18"/>
      <c r="I56" s="28"/>
      <c r="J56" s="13"/>
      <c r="K56" s="13"/>
      <c r="L56" s="13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75" t="s">
        <v>254</v>
      </c>
      <c r="B57" s="467">
        <f>+H52</f>
        <v>7361</v>
      </c>
      <c r="C57" s="467">
        <v>160</v>
      </c>
      <c r="D57" s="17">
        <f>B57-C57</f>
        <v>7201</v>
      </c>
      <c r="E57" s="1"/>
      <c r="F57" s="1"/>
      <c r="H57" s="24"/>
      <c r="I57" s="12"/>
      <c r="J57" s="13"/>
      <c r="K57" s="13"/>
      <c r="L57" s="13"/>
      <c r="M57" s="20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464" t="s">
        <v>255</v>
      </c>
      <c r="B58" s="468">
        <f>SUM(B53:B57)</f>
        <v>918650</v>
      </c>
      <c r="C58" s="468">
        <f>SUM(C53:C57)</f>
        <v>911289</v>
      </c>
      <c r="D58" s="21">
        <f>B58-C58</f>
        <v>7361</v>
      </c>
      <c r="E58" s="1"/>
      <c r="F58" s="30"/>
      <c r="H58" s="272"/>
      <c r="I58" s="12"/>
      <c r="J58" s="13"/>
      <c r="K58" s="13"/>
      <c r="L58" s="13"/>
      <c r="M58" s="26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75"/>
      <c r="B59" s="467"/>
      <c r="C59" s="467"/>
      <c r="D59" s="17"/>
      <c r="E59" s="1"/>
      <c r="F59" s="1"/>
      <c r="H59" s="272"/>
      <c r="I59" s="12"/>
      <c r="J59" s="13"/>
      <c r="K59" s="13"/>
      <c r="L59" s="13"/>
      <c r="M59" s="20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464" t="s">
        <v>256</v>
      </c>
      <c r="B60" s="468"/>
      <c r="C60" s="468"/>
      <c r="D60" s="17"/>
      <c r="E60" s="1"/>
      <c r="F60" s="1" t="s">
        <v>257</v>
      </c>
      <c r="H60" s="272"/>
      <c r="I60" s="12"/>
      <c r="J60" s="13"/>
      <c r="K60" s="13"/>
      <c r="L60" s="13"/>
      <c r="M60" s="20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345" t="s">
        <v>258</v>
      </c>
      <c r="B61" s="475">
        <v>47357</v>
      </c>
      <c r="C61" s="475">
        <v>80014</v>
      </c>
      <c r="D61" s="328">
        <f>B61-C61</f>
        <v>-32657</v>
      </c>
      <c r="E61" s="1">
        <v>2023</v>
      </c>
      <c r="F61" s="31">
        <f>+B57/B58</f>
        <v>8.0128449355031835E-3</v>
      </c>
      <c r="H61" s="272"/>
      <c r="I61" s="12"/>
      <c r="J61" s="13"/>
      <c r="K61" s="13"/>
      <c r="L61" s="13"/>
      <c r="M61" s="20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345" t="s">
        <v>259</v>
      </c>
      <c r="B62" s="476">
        <v>8678</v>
      </c>
      <c r="C62" s="476">
        <v>5647</v>
      </c>
      <c r="D62" s="328">
        <f>B62-C62</f>
        <v>3031</v>
      </c>
      <c r="E62" s="1">
        <v>2022</v>
      </c>
      <c r="F62" s="31">
        <f>+C57/C58</f>
        <v>1.7557547605644313E-4</v>
      </c>
      <c r="H62" s="273"/>
      <c r="I62" s="35"/>
      <c r="J62" s="36"/>
      <c r="K62" s="36"/>
      <c r="L62" s="36"/>
      <c r="M62" s="20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75" t="s">
        <v>260</v>
      </c>
      <c r="B63" s="479">
        <f>120270+9153</f>
        <v>129423</v>
      </c>
      <c r="C63" s="467">
        <v>108412</v>
      </c>
      <c r="D63" s="328">
        <f>B63-C63</f>
        <v>21011</v>
      </c>
      <c r="E63" s="1"/>
      <c r="F63" s="1" t="s">
        <v>261</v>
      </c>
      <c r="H63" s="272"/>
      <c r="I63" s="37"/>
      <c r="J63" s="29"/>
      <c r="K63" s="29"/>
      <c r="L63" s="29"/>
      <c r="M63" s="26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464" t="s">
        <v>262</v>
      </c>
      <c r="B64" s="468">
        <f>SUM(B61:B63)</f>
        <v>185458</v>
      </c>
      <c r="C64" s="468">
        <f>SUM(C61:C63)</f>
        <v>194073</v>
      </c>
      <c r="D64" s="32">
        <f>B64-C64</f>
        <v>-8615</v>
      </c>
      <c r="E64" s="1">
        <v>2023</v>
      </c>
      <c r="F64" s="30">
        <f>+H40/B48</f>
        <v>2.3096820207737352E-2</v>
      </c>
      <c r="H64" s="272"/>
      <c r="I64" s="38"/>
      <c r="J64" s="29"/>
      <c r="K64" s="29"/>
      <c r="L64" s="29"/>
      <c r="M64" s="34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277"/>
      <c r="B65" s="277"/>
      <c r="C65" s="277"/>
      <c r="E65" s="1">
        <v>2022</v>
      </c>
      <c r="F65" s="30">
        <f>+I40/C48</f>
        <v>3.9403756513274879E-2</v>
      </c>
      <c r="G65" s="1"/>
      <c r="H65" s="274"/>
      <c r="I65" s="35"/>
      <c r="J65" s="29"/>
      <c r="K65" s="29"/>
      <c r="L65" s="29"/>
      <c r="M65" s="26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464" t="s">
        <v>263</v>
      </c>
      <c r="B66" s="468"/>
      <c r="C66" s="468"/>
      <c r="D66" s="17"/>
      <c r="E66" s="1"/>
      <c r="F66" s="1"/>
      <c r="G66" s="1"/>
      <c r="H66" s="272"/>
      <c r="I66" s="37"/>
      <c r="J66" s="29"/>
      <c r="K66" s="29"/>
      <c r="L66" s="29"/>
      <c r="M66" s="20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75" t="s">
        <v>264</v>
      </c>
      <c r="B67" s="467">
        <v>601632</v>
      </c>
      <c r="C67" s="467">
        <v>447917</v>
      </c>
      <c r="D67" s="17">
        <f>+B67-C67</f>
        <v>153715</v>
      </c>
      <c r="E67" s="1"/>
      <c r="F67" s="1"/>
      <c r="G67" s="1"/>
      <c r="H67" s="271"/>
      <c r="I67" s="37"/>
      <c r="J67" s="29"/>
      <c r="K67" s="29"/>
      <c r="L67" s="29"/>
      <c r="M67" s="20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470" t="s">
        <v>214</v>
      </c>
      <c r="B68" s="471">
        <f>+B67</f>
        <v>601632</v>
      </c>
      <c r="C68" s="471">
        <f>+C67</f>
        <v>447917</v>
      </c>
      <c r="D68" s="17">
        <f t="shared" ref="D68:D76" si="4">+B68-C68</f>
        <v>153715</v>
      </c>
      <c r="E68" s="1"/>
      <c r="F68" s="1"/>
      <c r="G68" s="1"/>
      <c r="H68" s="272"/>
      <c r="I68" s="37"/>
      <c r="J68" s="29"/>
      <c r="K68" s="29"/>
      <c r="L68" s="29"/>
      <c r="M68" s="20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75" t="s">
        <v>265</v>
      </c>
      <c r="B69" s="467">
        <f>130629+38</f>
        <v>130667</v>
      </c>
      <c r="C69" s="467">
        <v>213189</v>
      </c>
      <c r="D69" s="17">
        <f>+B69-C69</f>
        <v>-82522</v>
      </c>
      <c r="E69" s="18"/>
      <c r="F69" s="18"/>
      <c r="G69" s="1"/>
      <c r="H69" s="272"/>
      <c r="I69" s="35"/>
      <c r="J69" s="29"/>
      <c r="K69" s="29"/>
      <c r="L69" s="29"/>
      <c r="M69" s="26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470" t="s">
        <v>214</v>
      </c>
      <c r="B70" s="471">
        <f>+B69</f>
        <v>130667</v>
      </c>
      <c r="C70" s="471">
        <f>+C69</f>
        <v>213189</v>
      </c>
      <c r="D70" s="17">
        <f t="shared" si="4"/>
        <v>-82522</v>
      </c>
      <c r="E70" s="1"/>
      <c r="F70" s="1"/>
      <c r="G70" s="1"/>
      <c r="H70" s="272"/>
      <c r="I70" s="37"/>
      <c r="J70" s="29"/>
      <c r="K70" s="29"/>
      <c r="L70" s="29"/>
      <c r="M70" s="20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75" t="s">
        <v>266</v>
      </c>
      <c r="B71" s="467">
        <v>64396</v>
      </c>
      <c r="C71" s="467">
        <v>68301</v>
      </c>
      <c r="D71" s="17">
        <f t="shared" si="4"/>
        <v>-3905</v>
      </c>
      <c r="E71" s="1"/>
      <c r="F71" s="1"/>
      <c r="G71" s="1"/>
      <c r="H71" s="271"/>
      <c r="I71" s="28"/>
      <c r="J71" s="29"/>
      <c r="K71" s="29"/>
      <c r="L71" s="29"/>
      <c r="M71" s="20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470" t="s">
        <v>214</v>
      </c>
      <c r="B72" s="471">
        <f>+B71</f>
        <v>64396</v>
      </c>
      <c r="C72" s="471">
        <f>+C71</f>
        <v>68301</v>
      </c>
      <c r="D72" s="17">
        <f t="shared" si="4"/>
        <v>-3905</v>
      </c>
      <c r="E72" s="1"/>
      <c r="F72" s="1"/>
      <c r="G72" s="1"/>
      <c r="H72" s="272"/>
      <c r="I72" s="35"/>
      <c r="J72" s="33"/>
      <c r="K72" s="33"/>
      <c r="L72" s="33"/>
      <c r="M72" s="20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75" t="s">
        <v>267</v>
      </c>
      <c r="B73" s="467">
        <v>69032</v>
      </c>
      <c r="C73" s="467">
        <v>59241</v>
      </c>
      <c r="D73" s="17">
        <f t="shared" si="4"/>
        <v>9791</v>
      </c>
      <c r="E73" s="1"/>
      <c r="F73" s="1"/>
      <c r="G73" s="1"/>
      <c r="H73" s="272"/>
      <c r="I73" s="35"/>
      <c r="J73" s="40"/>
      <c r="K73" s="40"/>
      <c r="L73" s="40"/>
      <c r="M73" s="20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470" t="s">
        <v>214</v>
      </c>
      <c r="B74" s="471">
        <f>+B73</f>
        <v>69032</v>
      </c>
      <c r="C74" s="471">
        <v>59241</v>
      </c>
      <c r="D74" s="17">
        <f t="shared" si="4"/>
        <v>9791</v>
      </c>
      <c r="E74" s="1"/>
      <c r="F74" s="1"/>
      <c r="G74" s="1"/>
      <c r="H74" s="272"/>
      <c r="I74" s="35"/>
      <c r="J74" s="40"/>
      <c r="K74" s="40"/>
      <c r="L74" s="40"/>
      <c r="M74" s="26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75" t="s">
        <v>268</v>
      </c>
      <c r="B75" s="467">
        <v>2204</v>
      </c>
      <c r="C75" s="467">
        <v>637</v>
      </c>
      <c r="D75" s="17">
        <f t="shared" si="4"/>
        <v>1567</v>
      </c>
      <c r="E75" s="5"/>
      <c r="F75" s="5"/>
      <c r="G75" s="1"/>
      <c r="H75" s="272"/>
      <c r="I75" s="28"/>
      <c r="J75" s="36"/>
      <c r="K75" s="36"/>
      <c r="L75" s="36"/>
      <c r="M75" s="20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470" t="s">
        <v>214</v>
      </c>
      <c r="B76" s="471">
        <f>+B75</f>
        <v>2204</v>
      </c>
      <c r="C76" s="471">
        <f>+C75</f>
        <v>637</v>
      </c>
      <c r="D76" s="17">
        <f t="shared" si="4"/>
        <v>1567</v>
      </c>
      <c r="E76" s="1"/>
      <c r="G76" s="1"/>
      <c r="H76" s="271"/>
      <c r="I76" s="38"/>
      <c r="J76" s="41"/>
      <c r="K76" s="41"/>
      <c r="L76" s="41"/>
      <c r="M76" s="20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464" t="s">
        <v>269</v>
      </c>
      <c r="B77" s="468">
        <f>+B67+B69+B71+B73+B75</f>
        <v>867931</v>
      </c>
      <c r="C77" s="468">
        <f>+C67+C69+C71+C73+C75</f>
        <v>789285</v>
      </c>
      <c r="D77" s="21">
        <f>B77-C77</f>
        <v>78646</v>
      </c>
      <c r="E77" s="1"/>
      <c r="F77" s="1"/>
      <c r="G77" s="12"/>
      <c r="H77" s="272"/>
      <c r="I77" s="35"/>
      <c r="J77" s="36"/>
      <c r="K77" s="36"/>
      <c r="L77" s="36"/>
      <c r="M77" s="26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75"/>
      <c r="B78" s="467"/>
      <c r="C78" s="467"/>
      <c r="D78" s="17"/>
      <c r="E78" s="1"/>
      <c r="F78" s="1"/>
      <c r="G78" s="12"/>
      <c r="H78" s="272"/>
      <c r="I78" s="35"/>
      <c r="J78" s="40"/>
      <c r="K78" s="40"/>
      <c r="L78" s="40"/>
      <c r="M78" s="26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464" t="s">
        <v>270</v>
      </c>
      <c r="B79" s="468"/>
      <c r="C79" s="468"/>
      <c r="D79" s="17"/>
      <c r="E79" s="1"/>
      <c r="F79" s="1"/>
      <c r="G79" s="12"/>
      <c r="H79" s="271"/>
      <c r="I79" s="12"/>
      <c r="J79" s="13"/>
      <c r="K79" s="13"/>
      <c r="L79" s="13"/>
      <c r="M79" s="26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464" t="s">
        <v>271</v>
      </c>
      <c r="B80" s="468">
        <v>1348115</v>
      </c>
      <c r="C80" s="468">
        <v>916151</v>
      </c>
      <c r="D80" s="23">
        <f>B80-C80</f>
        <v>431964</v>
      </c>
      <c r="E80" s="1"/>
      <c r="F80" s="1"/>
      <c r="G80" s="1"/>
      <c r="H80" s="271"/>
      <c r="I80" s="12"/>
      <c r="J80" s="13"/>
      <c r="K80" s="13"/>
      <c r="L80" s="13"/>
      <c r="M80" s="26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75"/>
      <c r="B81" s="467"/>
      <c r="C81" s="467"/>
      <c r="D81" s="17"/>
      <c r="E81" s="1"/>
      <c r="F81" s="1"/>
      <c r="G81" s="1"/>
      <c r="H81" s="271"/>
      <c r="I81" s="12"/>
      <c r="J81" s="13"/>
      <c r="K81" s="13"/>
      <c r="L81" s="13"/>
      <c r="M81" s="34"/>
      <c r="N81" s="1"/>
      <c r="O81" s="1"/>
      <c r="P81" s="1"/>
      <c r="Q81" s="1"/>
      <c r="R81" s="1"/>
      <c r="S81" s="1"/>
      <c r="T81" s="1"/>
      <c r="U81" s="1"/>
    </row>
    <row r="82" spans="1:21" ht="17" customHeight="1" x14ac:dyDescent="0.2">
      <c r="A82" s="473" t="s">
        <v>272</v>
      </c>
      <c r="B82" s="474">
        <f>+B58+B64+B77+B80</f>
        <v>3320154</v>
      </c>
      <c r="C82" s="474">
        <f>+C58+C64+C77+C80</f>
        <v>2810798</v>
      </c>
      <c r="D82" s="17">
        <f>B82-C82</f>
        <v>509356</v>
      </c>
      <c r="E82" s="1"/>
      <c r="F82" s="1"/>
      <c r="G82" s="1"/>
      <c r="H82" s="272"/>
      <c r="I82" s="12"/>
      <c r="J82" s="13"/>
      <c r="K82" s="13"/>
      <c r="L82" s="13"/>
      <c r="M82" s="34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2"/>
      <c r="C83" s="12"/>
      <c r="D83" s="1"/>
      <c r="E83" s="1"/>
      <c r="F83" s="1"/>
      <c r="G83" s="1"/>
      <c r="H83" s="274"/>
      <c r="I83" s="12"/>
      <c r="J83" s="13"/>
      <c r="K83" s="13"/>
      <c r="L83" s="13"/>
      <c r="M83" s="26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 t="s">
        <v>132</v>
      </c>
      <c r="B84" s="12">
        <f>+B48-B82</f>
        <v>0</v>
      </c>
      <c r="C84" s="16">
        <f>+C48-C82</f>
        <v>0</v>
      </c>
      <c r="D84" s="1"/>
      <c r="E84" s="1"/>
      <c r="F84" s="1"/>
      <c r="G84" s="1"/>
      <c r="H84" s="274"/>
      <c r="I84" s="12"/>
      <c r="J84" s="13"/>
      <c r="K84" s="13"/>
      <c r="L84" s="13"/>
      <c r="M84" s="26"/>
      <c r="N84" s="1"/>
      <c r="O84" s="1"/>
      <c r="P84" s="1"/>
      <c r="Q84" s="1"/>
      <c r="R84" s="1"/>
      <c r="S84" s="1"/>
      <c r="T84" s="1"/>
      <c r="U84" s="1"/>
    </row>
    <row r="85" spans="1:21" ht="12.75" customHeight="1" thickBot="1" x14ac:dyDescent="0.25">
      <c r="A85" s="1"/>
      <c r="B85" s="12"/>
      <c r="C85" s="12"/>
      <c r="D85" s="13"/>
      <c r="E85" s="1"/>
      <c r="F85" s="1"/>
      <c r="G85" s="1"/>
      <c r="H85" s="693">
        <v>128904</v>
      </c>
      <c r="I85" s="693">
        <v>83575</v>
      </c>
      <c r="J85" s="693">
        <f>+H85-I85</f>
        <v>45329</v>
      </c>
      <c r="K85" s="13"/>
      <c r="L85" s="13"/>
      <c r="M85" s="26"/>
      <c r="N85" s="1"/>
      <c r="O85" s="1"/>
      <c r="P85" s="1"/>
      <c r="Q85" s="1"/>
      <c r="R85" s="1"/>
      <c r="S85" s="1"/>
      <c r="T85" s="1"/>
      <c r="U85" s="1"/>
    </row>
    <row r="86" spans="1:21" ht="12.75" customHeight="1" thickBot="1" x14ac:dyDescent="0.25">
      <c r="A86" s="1"/>
      <c r="B86" s="606"/>
      <c r="C86" s="275"/>
      <c r="D86" s="1"/>
      <c r="E86" s="1"/>
      <c r="F86" s="1"/>
      <c r="G86" s="1"/>
      <c r="H86" s="693">
        <v>2054989</v>
      </c>
      <c r="I86" s="693">
        <v>2304322</v>
      </c>
      <c r="J86" s="693">
        <f>+H86-I86</f>
        <v>-249333</v>
      </c>
      <c r="K86" s="13"/>
      <c r="L86" s="13"/>
      <c r="M86" s="26"/>
      <c r="N86" s="1"/>
      <c r="O86" s="1"/>
      <c r="P86" s="1"/>
      <c r="Q86" s="1"/>
      <c r="R86" s="1"/>
      <c r="S86" s="1"/>
      <c r="T86" s="1"/>
      <c r="U86" s="1"/>
    </row>
    <row r="87" spans="1:21" ht="12.75" customHeight="1" thickBot="1" x14ac:dyDescent="0.25">
      <c r="A87" s="1"/>
      <c r="B87" s="39"/>
      <c r="C87" s="42"/>
      <c r="D87" s="1"/>
      <c r="E87" s="1"/>
      <c r="F87" s="1"/>
      <c r="G87" s="1"/>
      <c r="H87" s="693">
        <v>1174510</v>
      </c>
      <c r="I87" s="693">
        <v>1605471</v>
      </c>
      <c r="J87" s="693">
        <f t="shared" ref="J87:J90" si="5">+H87-I87</f>
        <v>-430961</v>
      </c>
      <c r="K87" s="13"/>
      <c r="L87" s="13"/>
      <c r="M87" s="43"/>
      <c r="N87" s="1"/>
      <c r="O87" s="1"/>
      <c r="P87" s="1"/>
      <c r="Q87" s="1"/>
      <c r="R87" s="1"/>
      <c r="S87" s="1"/>
      <c r="T87" s="1"/>
      <c r="U87" s="1"/>
    </row>
    <row r="88" spans="1:21" ht="12.75" customHeight="1" thickBot="1" x14ac:dyDescent="0.25">
      <c r="A88" s="1"/>
      <c r="B88" s="1"/>
      <c r="C88" s="1"/>
      <c r="D88" s="1"/>
      <c r="E88" s="1"/>
      <c r="F88" s="1"/>
      <c r="G88" s="1"/>
      <c r="H88" s="693">
        <v>436071</v>
      </c>
      <c r="I88" s="693">
        <v>507703</v>
      </c>
      <c r="J88" s="693">
        <f t="shared" si="5"/>
        <v>-71632</v>
      </c>
      <c r="K88" s="13"/>
      <c r="L88" s="13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thickBot="1" x14ac:dyDescent="0.25">
      <c r="A89" s="1"/>
      <c r="B89" s="1"/>
      <c r="C89" s="1"/>
      <c r="D89" s="1"/>
      <c r="E89" s="1"/>
      <c r="F89" s="1"/>
      <c r="G89" s="1"/>
      <c r="H89" s="693">
        <v>989</v>
      </c>
      <c r="I89" s="693">
        <v>5368</v>
      </c>
      <c r="J89" s="693">
        <f t="shared" si="5"/>
        <v>-4379</v>
      </c>
      <c r="K89" s="13"/>
      <c r="L89" s="13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thickBot="1" x14ac:dyDescent="0.25">
      <c r="A90" s="1"/>
      <c r="B90" s="1"/>
      <c r="C90" s="1"/>
      <c r="D90" s="1"/>
      <c r="E90" s="1"/>
      <c r="F90" s="1"/>
      <c r="G90" s="1"/>
      <c r="H90" s="693">
        <v>122533</v>
      </c>
      <c r="I90" s="693">
        <v>80078</v>
      </c>
      <c r="J90" s="693">
        <f t="shared" si="5"/>
        <v>42455</v>
      </c>
      <c r="K90" s="13"/>
      <c r="L90" s="13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thickBot="1" x14ac:dyDescent="0.25">
      <c r="A91" s="1"/>
      <c r="B91" s="1"/>
      <c r="C91" s="1"/>
      <c r="D91" s="1"/>
      <c r="E91" s="1"/>
      <c r="F91" s="1"/>
      <c r="G91" s="1"/>
      <c r="H91" s="694">
        <f>SUM(H85:H90)</f>
        <v>3917996</v>
      </c>
      <c r="I91" s="694">
        <f t="shared" ref="I91:J91" si="6">SUM(I85:I90)</f>
        <v>4586517</v>
      </c>
      <c r="J91" s="694">
        <f t="shared" si="6"/>
        <v>-668521</v>
      </c>
      <c r="K91" s="13"/>
      <c r="L91" s="13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2"/>
      <c r="J92" s="13"/>
      <c r="K92" s="13"/>
      <c r="L92" s="13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2"/>
      <c r="J93" s="13"/>
      <c r="K93" s="13"/>
      <c r="L93" s="13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thickBot="1" x14ac:dyDescent="0.25">
      <c r="A94" s="1"/>
      <c r="B94" s="1"/>
      <c r="C94" s="1"/>
      <c r="D94" s="1"/>
      <c r="E94" s="1"/>
      <c r="F94" s="1"/>
      <c r="G94" s="1"/>
      <c r="H94" s="706" t="s">
        <v>299</v>
      </c>
      <c r="I94" s="693">
        <v>128904</v>
      </c>
      <c r="J94" s="693">
        <v>83575</v>
      </c>
      <c r="K94" s="693">
        <f>+I94-J94</f>
        <v>45329</v>
      </c>
      <c r="L94" s="13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thickBot="1" x14ac:dyDescent="0.25">
      <c r="A95" s="1"/>
      <c r="B95" s="1"/>
      <c r="C95" s="1"/>
      <c r="D95" s="1"/>
      <c r="E95" s="1"/>
      <c r="F95" s="1"/>
      <c r="G95" s="1"/>
      <c r="H95" s="706" t="s">
        <v>300</v>
      </c>
      <c r="I95" s="693">
        <v>2054989</v>
      </c>
      <c r="J95" s="693">
        <v>2304322</v>
      </c>
      <c r="K95" s="693">
        <f t="shared" ref="K95:K96" si="7">+I95-J95</f>
        <v>-249333</v>
      </c>
      <c r="L95" s="13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thickBot="1" x14ac:dyDescent="0.25">
      <c r="A96" s="1"/>
      <c r="B96" s="1"/>
      <c r="C96" s="1"/>
      <c r="D96" s="1"/>
      <c r="E96" s="1"/>
      <c r="F96" s="1"/>
      <c r="G96" s="1"/>
      <c r="H96" s="706" t="s">
        <v>301</v>
      </c>
      <c r="I96" s="693">
        <v>1175168</v>
      </c>
      <c r="J96" s="693">
        <v>1605471</v>
      </c>
      <c r="K96" s="693">
        <f t="shared" si="7"/>
        <v>-430303</v>
      </c>
      <c r="L96" s="13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2"/>
      <c r="J97" s="13"/>
      <c r="K97" s="13"/>
      <c r="L97" s="13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2"/>
      <c r="J98" s="13"/>
      <c r="K98" s="13"/>
      <c r="L98" s="13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2"/>
      <c r="J99" s="13"/>
      <c r="K99" s="13"/>
      <c r="L99" s="13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2"/>
      <c r="J100" s="13"/>
      <c r="K100" s="13"/>
      <c r="L100" s="13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2"/>
      <c r="J101" s="13"/>
      <c r="K101" s="13"/>
      <c r="L101" s="13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2"/>
      <c r="J102" s="13"/>
      <c r="K102" s="13"/>
      <c r="L102" s="13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2"/>
      <c r="J103" s="13"/>
      <c r="K103" s="13"/>
      <c r="L103" s="13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2"/>
      <c r="J104" s="13"/>
      <c r="K104" s="13"/>
      <c r="L104" s="13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2"/>
      <c r="J105" s="13"/>
      <c r="K105" s="13"/>
      <c r="L105" s="13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2"/>
      <c r="J106" s="13"/>
      <c r="K106" s="13"/>
      <c r="L106" s="13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2"/>
      <c r="J107" s="13"/>
      <c r="K107" s="13"/>
      <c r="L107" s="13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2"/>
      <c r="J108" s="13"/>
      <c r="K108" s="13"/>
      <c r="L108" s="13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2"/>
      <c r="J109" s="13"/>
      <c r="K109" s="13"/>
      <c r="L109" s="13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2"/>
      <c r="J110" s="13"/>
      <c r="K110" s="13"/>
      <c r="L110" s="13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2"/>
      <c r="J111" s="13"/>
      <c r="K111" s="13"/>
      <c r="L111" s="13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2"/>
      <c r="J112" s="13"/>
      <c r="K112" s="13"/>
      <c r="L112" s="13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2"/>
      <c r="J113" s="13"/>
      <c r="K113" s="13"/>
      <c r="L113" s="13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2"/>
      <c r="J114" s="13"/>
      <c r="K114" s="13"/>
      <c r="L114" s="13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2"/>
      <c r="J115" s="13"/>
      <c r="K115" s="13"/>
      <c r="L115" s="13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2"/>
      <c r="J116" s="13"/>
      <c r="K116" s="13"/>
      <c r="L116" s="13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2"/>
      <c r="J117" s="13"/>
      <c r="K117" s="13"/>
      <c r="L117" s="13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2"/>
      <c r="J118" s="13"/>
      <c r="K118" s="13"/>
      <c r="L118" s="13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2"/>
      <c r="J119" s="13"/>
      <c r="K119" s="13"/>
      <c r="L119" s="13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2"/>
      <c r="J120" s="13"/>
      <c r="K120" s="13"/>
      <c r="L120" s="13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2"/>
      <c r="J121" s="13"/>
      <c r="K121" s="13"/>
      <c r="L121" s="13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2"/>
      <c r="J122" s="13"/>
      <c r="K122" s="13"/>
      <c r="L122" s="13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2"/>
      <c r="J123" s="13"/>
      <c r="K123" s="13"/>
      <c r="L123" s="13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2"/>
      <c r="J124" s="13"/>
      <c r="K124" s="13"/>
      <c r="L124" s="13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2"/>
      <c r="J125" s="13"/>
      <c r="K125" s="13"/>
      <c r="L125" s="13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2"/>
      <c r="J126" s="13"/>
      <c r="K126" s="13"/>
      <c r="L126" s="13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2"/>
      <c r="J127" s="13"/>
      <c r="K127" s="13"/>
      <c r="L127" s="13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2"/>
      <c r="J128" s="13"/>
      <c r="K128" s="13"/>
      <c r="L128" s="13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2"/>
      <c r="J129" s="13"/>
      <c r="K129" s="13"/>
      <c r="L129" s="13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2"/>
      <c r="J130" s="13"/>
      <c r="K130" s="13"/>
      <c r="L130" s="13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2"/>
      <c r="J131" s="13"/>
      <c r="K131" s="13"/>
      <c r="L131" s="13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2"/>
      <c r="J132" s="13"/>
      <c r="K132" s="13"/>
      <c r="L132" s="13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2"/>
      <c r="J133" s="13"/>
      <c r="K133" s="13"/>
      <c r="L133" s="13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2"/>
      <c r="J134" s="13"/>
      <c r="K134" s="13"/>
      <c r="L134" s="13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2"/>
      <c r="J135" s="13"/>
      <c r="K135" s="13"/>
      <c r="L135" s="13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2"/>
      <c r="J136" s="13"/>
      <c r="K136" s="13"/>
      <c r="L136" s="13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2"/>
      <c r="J137" s="13"/>
      <c r="K137" s="13"/>
      <c r="L137" s="13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2"/>
      <c r="J138" s="13"/>
      <c r="K138" s="13"/>
      <c r="L138" s="13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2"/>
      <c r="J139" s="13"/>
      <c r="K139" s="13"/>
      <c r="L139" s="13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2"/>
      <c r="J140" s="13"/>
      <c r="K140" s="13"/>
      <c r="L140" s="13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2"/>
      <c r="J141" s="13"/>
      <c r="K141" s="13"/>
      <c r="L141" s="13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2"/>
      <c r="J142" s="13"/>
      <c r="K142" s="13"/>
      <c r="L142" s="13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2"/>
      <c r="J143" s="13"/>
      <c r="K143" s="13"/>
      <c r="L143" s="13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2"/>
      <c r="J144" s="13"/>
      <c r="K144" s="13"/>
      <c r="L144" s="13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2"/>
      <c r="J145" s="13"/>
      <c r="K145" s="13"/>
      <c r="L145" s="13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2"/>
      <c r="J146" s="13"/>
      <c r="K146" s="13"/>
      <c r="L146" s="13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2"/>
      <c r="J147" s="13"/>
      <c r="K147" s="13"/>
      <c r="L147" s="13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2"/>
      <c r="J148" s="13"/>
      <c r="K148" s="13"/>
      <c r="L148" s="13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2"/>
      <c r="J149" s="13"/>
      <c r="K149" s="13"/>
      <c r="L149" s="13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2"/>
      <c r="J150" s="13"/>
      <c r="K150" s="13"/>
      <c r="L150" s="13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2"/>
      <c r="J151" s="13"/>
      <c r="K151" s="13"/>
      <c r="L151" s="13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2"/>
      <c r="J152" s="13"/>
      <c r="K152" s="13"/>
      <c r="L152" s="13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2"/>
      <c r="J153" s="13"/>
      <c r="K153" s="13"/>
      <c r="L153" s="13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2"/>
      <c r="J154" s="13"/>
      <c r="K154" s="13"/>
      <c r="L154" s="13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2"/>
      <c r="J155" s="13"/>
      <c r="K155" s="13"/>
      <c r="L155" s="13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2"/>
      <c r="J156" s="13"/>
      <c r="K156" s="13"/>
      <c r="L156" s="13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2"/>
      <c r="J157" s="13"/>
      <c r="K157" s="13"/>
      <c r="L157" s="13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2"/>
      <c r="J158" s="13"/>
      <c r="K158" s="13"/>
      <c r="L158" s="13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2"/>
      <c r="J159" s="13"/>
      <c r="K159" s="13"/>
      <c r="L159" s="13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2"/>
      <c r="J160" s="13"/>
      <c r="K160" s="13"/>
      <c r="L160" s="13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2"/>
      <c r="J161" s="13"/>
      <c r="K161" s="13"/>
      <c r="L161" s="13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2"/>
      <c r="J162" s="13"/>
      <c r="K162" s="13"/>
      <c r="L162" s="13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2"/>
      <c r="J163" s="13"/>
      <c r="K163" s="13"/>
      <c r="L163" s="13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2"/>
      <c r="J164" s="13"/>
      <c r="K164" s="13"/>
      <c r="L164" s="13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2"/>
      <c r="J165" s="13"/>
      <c r="K165" s="13"/>
      <c r="L165" s="13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2"/>
      <c r="J166" s="13"/>
      <c r="K166" s="13"/>
      <c r="L166" s="13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2"/>
      <c r="J167" s="13"/>
      <c r="K167" s="13"/>
      <c r="L167" s="13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2"/>
      <c r="J168" s="13"/>
      <c r="K168" s="13"/>
      <c r="L168" s="13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2"/>
      <c r="J169" s="13"/>
      <c r="K169" s="13"/>
      <c r="L169" s="13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2"/>
      <c r="J170" s="13"/>
      <c r="K170" s="13"/>
      <c r="L170" s="13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2"/>
      <c r="J171" s="13"/>
      <c r="K171" s="13"/>
      <c r="L171" s="13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2"/>
      <c r="J172" s="13"/>
      <c r="K172" s="13"/>
      <c r="L172" s="13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2"/>
      <c r="J173" s="13"/>
      <c r="K173" s="13"/>
      <c r="L173" s="13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2"/>
      <c r="J174" s="13"/>
      <c r="K174" s="13"/>
      <c r="L174" s="13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2"/>
      <c r="J175" s="13"/>
      <c r="K175" s="13"/>
      <c r="L175" s="13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2"/>
      <c r="J176" s="13"/>
      <c r="K176" s="13"/>
      <c r="L176" s="13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2"/>
      <c r="J177" s="13"/>
      <c r="K177" s="13"/>
      <c r="L177" s="13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2"/>
      <c r="J178" s="13"/>
      <c r="K178" s="13"/>
      <c r="L178" s="13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2"/>
      <c r="J179" s="13"/>
      <c r="K179" s="13"/>
      <c r="L179" s="13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2"/>
      <c r="J180" s="13"/>
      <c r="K180" s="13"/>
      <c r="L180" s="13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2"/>
      <c r="J181" s="13"/>
      <c r="K181" s="13"/>
      <c r="L181" s="13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2"/>
      <c r="J182" s="13"/>
      <c r="K182" s="13"/>
      <c r="L182" s="13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2"/>
      <c r="J183" s="13"/>
      <c r="K183" s="13"/>
      <c r="L183" s="13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2"/>
      <c r="J184" s="13"/>
      <c r="K184" s="13"/>
      <c r="L184" s="13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2"/>
      <c r="J185" s="13"/>
      <c r="K185" s="13"/>
      <c r="L185" s="13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2"/>
      <c r="J186" s="13"/>
      <c r="K186" s="13"/>
      <c r="L186" s="13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2"/>
      <c r="J187" s="13"/>
      <c r="K187" s="13"/>
      <c r="L187" s="13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2"/>
      <c r="J188" s="13"/>
      <c r="K188" s="13"/>
      <c r="L188" s="13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2"/>
      <c r="J189" s="13"/>
      <c r="K189" s="13"/>
      <c r="L189" s="13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2"/>
      <c r="J190" s="13"/>
      <c r="K190" s="13"/>
      <c r="L190" s="13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2"/>
      <c r="J191" s="13"/>
      <c r="K191" s="13"/>
      <c r="L191" s="13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2"/>
      <c r="J192" s="13"/>
      <c r="K192" s="13"/>
      <c r="L192" s="13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2"/>
      <c r="J193" s="13"/>
      <c r="K193" s="13"/>
      <c r="L193" s="13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2"/>
      <c r="J194" s="13"/>
      <c r="K194" s="13"/>
      <c r="L194" s="13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2"/>
      <c r="J195" s="13"/>
      <c r="K195" s="13"/>
      <c r="L195" s="13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2"/>
      <c r="J196" s="13"/>
      <c r="K196" s="13"/>
      <c r="L196" s="13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2"/>
      <c r="J197" s="13"/>
      <c r="K197" s="13"/>
      <c r="L197" s="13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2"/>
      <c r="J198" s="13"/>
      <c r="K198" s="13"/>
      <c r="L198" s="13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2"/>
      <c r="J199" s="13"/>
      <c r="K199" s="13"/>
      <c r="L199" s="13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2"/>
      <c r="J200" s="13"/>
      <c r="K200" s="13"/>
      <c r="L200" s="13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2"/>
      <c r="J201" s="13"/>
      <c r="K201" s="13"/>
      <c r="L201" s="13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2"/>
      <c r="J202" s="13"/>
      <c r="K202" s="13"/>
      <c r="L202" s="13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2"/>
      <c r="J203" s="13"/>
      <c r="K203" s="13"/>
      <c r="L203" s="13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2"/>
      <c r="J204" s="13"/>
      <c r="K204" s="13"/>
      <c r="L204" s="13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2"/>
      <c r="J205" s="13"/>
      <c r="K205" s="13"/>
      <c r="L205" s="13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2"/>
      <c r="J206" s="13"/>
      <c r="K206" s="13"/>
      <c r="L206" s="13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2"/>
      <c r="J207" s="13"/>
      <c r="K207" s="13"/>
      <c r="L207" s="13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2"/>
      <c r="J208" s="13"/>
      <c r="K208" s="13"/>
      <c r="L208" s="13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2"/>
      <c r="J209" s="13"/>
      <c r="K209" s="13"/>
      <c r="L209" s="13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2"/>
      <c r="J210" s="13"/>
      <c r="K210" s="13"/>
      <c r="L210" s="13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2"/>
      <c r="J211" s="13"/>
      <c r="K211" s="13"/>
      <c r="L211" s="13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2"/>
      <c r="J212" s="13"/>
      <c r="K212" s="13"/>
      <c r="L212" s="13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2"/>
      <c r="J213" s="13"/>
      <c r="K213" s="13"/>
      <c r="L213" s="13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2"/>
      <c r="J214" s="13"/>
      <c r="K214" s="13"/>
      <c r="L214" s="13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2"/>
      <c r="J215" s="13"/>
      <c r="K215" s="13"/>
      <c r="L215" s="13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2"/>
      <c r="J216" s="13"/>
      <c r="K216" s="13"/>
      <c r="L216" s="13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2"/>
      <c r="J217" s="13"/>
      <c r="K217" s="13"/>
      <c r="L217" s="13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2"/>
      <c r="J218" s="13"/>
      <c r="K218" s="13"/>
      <c r="L218" s="13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2"/>
      <c r="J219" s="13"/>
      <c r="K219" s="13"/>
      <c r="L219" s="13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2"/>
      <c r="J220" s="13"/>
      <c r="K220" s="13"/>
      <c r="L220" s="13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2"/>
      <c r="J221" s="13"/>
      <c r="K221" s="13"/>
      <c r="L221" s="13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2"/>
      <c r="J222" s="13"/>
      <c r="K222" s="13"/>
      <c r="L222" s="13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2"/>
      <c r="J223" s="13"/>
      <c r="K223" s="13"/>
      <c r="L223" s="13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2"/>
      <c r="J224" s="13"/>
      <c r="K224" s="13"/>
      <c r="L224" s="13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2"/>
      <c r="J225" s="13"/>
      <c r="K225" s="13"/>
      <c r="L225" s="13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2"/>
      <c r="J226" s="13"/>
      <c r="K226" s="13"/>
      <c r="L226" s="13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2"/>
      <c r="J227" s="13"/>
      <c r="K227" s="13"/>
      <c r="L227" s="13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2"/>
      <c r="J228" s="13"/>
      <c r="K228" s="13"/>
      <c r="L228" s="13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2"/>
      <c r="J229" s="13"/>
      <c r="K229" s="13"/>
      <c r="L229" s="13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2"/>
      <c r="J230" s="13"/>
      <c r="K230" s="13"/>
      <c r="L230" s="13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2"/>
      <c r="J231" s="13"/>
      <c r="K231" s="13"/>
      <c r="L231" s="13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2"/>
      <c r="J232" s="13"/>
      <c r="K232" s="13"/>
      <c r="L232" s="13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2"/>
      <c r="J233" s="13"/>
      <c r="K233" s="13"/>
      <c r="L233" s="13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2"/>
      <c r="J234" s="13"/>
      <c r="K234" s="13"/>
      <c r="L234" s="13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2"/>
      <c r="J235" s="13"/>
      <c r="K235" s="13"/>
      <c r="L235" s="13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2"/>
      <c r="J236" s="13"/>
      <c r="K236" s="13"/>
      <c r="L236" s="13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2"/>
      <c r="J237" s="13"/>
      <c r="K237" s="13"/>
      <c r="L237" s="13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2"/>
      <c r="J238" s="13"/>
      <c r="K238" s="13"/>
      <c r="L238" s="13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2"/>
      <c r="J239" s="13"/>
      <c r="K239" s="13"/>
      <c r="L239" s="13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2"/>
      <c r="J240" s="13"/>
      <c r="K240" s="13"/>
      <c r="L240" s="13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2"/>
      <c r="J241" s="13"/>
      <c r="K241" s="13"/>
      <c r="L241" s="13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2"/>
      <c r="J242" s="13"/>
      <c r="K242" s="13"/>
      <c r="L242" s="13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2"/>
      <c r="J243" s="13"/>
      <c r="K243" s="13"/>
      <c r="L243" s="13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2"/>
      <c r="J244" s="13"/>
      <c r="K244" s="13"/>
      <c r="L244" s="13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2"/>
      <c r="J245" s="13"/>
      <c r="K245" s="13"/>
      <c r="L245" s="13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2"/>
      <c r="J246" s="13"/>
      <c r="K246" s="13"/>
      <c r="L246" s="13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2"/>
      <c r="J247" s="13"/>
      <c r="K247" s="13"/>
      <c r="L247" s="13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2"/>
      <c r="J248" s="13"/>
      <c r="K248" s="13"/>
      <c r="L248" s="13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2"/>
      <c r="J249" s="13"/>
      <c r="K249" s="13"/>
      <c r="L249" s="13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2"/>
      <c r="J250" s="13"/>
      <c r="K250" s="13"/>
      <c r="L250" s="13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2"/>
      <c r="J251" s="13"/>
      <c r="K251" s="13"/>
      <c r="L251" s="13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2"/>
      <c r="J252" s="13"/>
      <c r="K252" s="13"/>
      <c r="L252" s="13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2"/>
      <c r="J253" s="13"/>
      <c r="K253" s="13"/>
      <c r="L253" s="13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2"/>
      <c r="J254" s="13"/>
      <c r="K254" s="13"/>
      <c r="L254" s="13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2"/>
      <c r="J255" s="13"/>
      <c r="K255" s="13"/>
      <c r="L255" s="13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2"/>
      <c r="J256" s="13"/>
      <c r="K256" s="13"/>
      <c r="L256" s="13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2"/>
      <c r="J257" s="13"/>
      <c r="K257" s="13"/>
      <c r="L257" s="13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2"/>
      <c r="J258" s="13"/>
      <c r="K258" s="13"/>
      <c r="L258" s="13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2"/>
      <c r="J259" s="13"/>
      <c r="K259" s="13"/>
      <c r="L259" s="13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2"/>
      <c r="J260" s="13"/>
      <c r="K260" s="13"/>
      <c r="L260" s="13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2"/>
      <c r="J261" s="13"/>
      <c r="K261" s="13"/>
      <c r="L261" s="13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2"/>
      <c r="J262" s="13"/>
      <c r="K262" s="13"/>
      <c r="L262" s="13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2"/>
      <c r="J263" s="13"/>
      <c r="K263" s="13"/>
      <c r="L263" s="13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2"/>
      <c r="J264" s="13"/>
      <c r="K264" s="13"/>
      <c r="L264" s="13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2"/>
      <c r="J265" s="13"/>
      <c r="K265" s="13"/>
      <c r="L265" s="13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2"/>
      <c r="J266" s="13"/>
      <c r="K266" s="13"/>
      <c r="L266" s="13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2"/>
      <c r="J267" s="13"/>
      <c r="K267" s="13"/>
      <c r="L267" s="13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2"/>
      <c r="J268" s="13"/>
      <c r="K268" s="13"/>
      <c r="L268" s="13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2"/>
      <c r="J269" s="13"/>
      <c r="K269" s="13"/>
      <c r="L269" s="13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2"/>
      <c r="J270" s="13"/>
      <c r="K270" s="13"/>
      <c r="L270" s="13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2"/>
      <c r="J271" s="13"/>
      <c r="K271" s="13"/>
      <c r="L271" s="13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2"/>
      <c r="J272" s="13"/>
      <c r="K272" s="13"/>
      <c r="L272" s="13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2"/>
      <c r="J273" s="13"/>
      <c r="K273" s="13"/>
      <c r="L273" s="13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2"/>
      <c r="J274" s="13"/>
      <c r="K274" s="13"/>
      <c r="L274" s="13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2"/>
      <c r="J275" s="13"/>
      <c r="K275" s="13"/>
      <c r="L275" s="13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2"/>
      <c r="J276" s="13"/>
      <c r="K276" s="13"/>
      <c r="L276" s="13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2"/>
      <c r="J277" s="13"/>
      <c r="K277" s="13"/>
      <c r="L277" s="13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2"/>
      <c r="J278" s="13"/>
      <c r="K278" s="13"/>
      <c r="L278" s="13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2"/>
      <c r="J279" s="13"/>
      <c r="K279" s="13"/>
      <c r="L279" s="13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2"/>
      <c r="J280" s="13"/>
      <c r="K280" s="13"/>
      <c r="L280" s="13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2"/>
      <c r="J281" s="13"/>
      <c r="K281" s="13"/>
      <c r="L281" s="13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2"/>
      <c r="J282" s="13"/>
      <c r="K282" s="13"/>
      <c r="L282" s="13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2"/>
      <c r="J283" s="13"/>
      <c r="K283" s="13"/>
      <c r="L283" s="13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2"/>
      <c r="J284" s="13"/>
      <c r="K284" s="13"/>
      <c r="L284" s="13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2"/>
      <c r="J285" s="13"/>
      <c r="K285" s="13"/>
      <c r="L285" s="13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2"/>
      <c r="J286" s="13"/>
      <c r="K286" s="13"/>
      <c r="L286" s="13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2"/>
      <c r="J287" s="13"/>
      <c r="K287" s="13"/>
      <c r="L287" s="13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2"/>
      <c r="J288" s="13"/>
      <c r="K288" s="13"/>
      <c r="L288" s="13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2"/>
      <c r="J289" s="13"/>
      <c r="K289" s="13"/>
      <c r="L289" s="13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2"/>
      <c r="J290" s="13"/>
      <c r="K290" s="13"/>
      <c r="L290" s="13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2"/>
      <c r="J291" s="13"/>
      <c r="K291" s="13"/>
      <c r="L291" s="13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2"/>
      <c r="J292" s="13"/>
      <c r="K292" s="13"/>
      <c r="L292" s="13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2"/>
      <c r="J293" s="13"/>
      <c r="K293" s="13"/>
      <c r="L293" s="13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2"/>
      <c r="J294" s="13"/>
      <c r="K294" s="13"/>
      <c r="L294" s="13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2"/>
      <c r="J295" s="13"/>
      <c r="K295" s="13"/>
      <c r="L295" s="13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2"/>
      <c r="J296" s="13"/>
      <c r="K296" s="13"/>
      <c r="L296" s="13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2"/>
      <c r="J297" s="13"/>
      <c r="K297" s="13"/>
      <c r="L297" s="13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2"/>
      <c r="J298" s="13"/>
      <c r="K298" s="13"/>
      <c r="L298" s="13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2"/>
      <c r="J299" s="13"/>
      <c r="K299" s="13"/>
      <c r="L299" s="13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2"/>
      <c r="J300" s="13"/>
      <c r="K300" s="13"/>
      <c r="L300" s="13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2"/>
      <c r="J301" s="13"/>
      <c r="K301" s="13"/>
      <c r="L301" s="13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2"/>
      <c r="J302" s="13"/>
      <c r="K302" s="13"/>
      <c r="L302" s="13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2"/>
      <c r="J303" s="13"/>
      <c r="K303" s="13"/>
      <c r="L303" s="13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2"/>
      <c r="J304" s="13"/>
      <c r="K304" s="13"/>
      <c r="L304" s="13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2"/>
      <c r="J305" s="13"/>
      <c r="K305" s="13"/>
      <c r="L305" s="13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2"/>
      <c r="J306" s="13"/>
      <c r="K306" s="13"/>
      <c r="L306" s="13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2"/>
      <c r="J307" s="13"/>
      <c r="K307" s="13"/>
      <c r="L307" s="13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2"/>
      <c r="J308" s="13"/>
      <c r="K308" s="13"/>
      <c r="L308" s="13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2"/>
      <c r="J309" s="13"/>
      <c r="K309" s="13"/>
      <c r="L309" s="13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2"/>
      <c r="J310" s="13"/>
      <c r="K310" s="13"/>
      <c r="L310" s="13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2"/>
      <c r="J311" s="13"/>
      <c r="K311" s="13"/>
      <c r="L311" s="13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2"/>
      <c r="J312" s="13"/>
      <c r="K312" s="13"/>
      <c r="L312" s="13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2"/>
      <c r="J313" s="13"/>
      <c r="K313" s="13"/>
      <c r="L313" s="13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2"/>
      <c r="J314" s="13"/>
      <c r="K314" s="13"/>
      <c r="L314" s="13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2"/>
      <c r="J315" s="13"/>
      <c r="K315" s="13"/>
      <c r="L315" s="13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2"/>
      <c r="J316" s="13"/>
      <c r="K316" s="13"/>
      <c r="L316" s="13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2"/>
      <c r="J317" s="13"/>
      <c r="K317" s="13"/>
      <c r="L317" s="13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2"/>
      <c r="J318" s="13"/>
      <c r="K318" s="13"/>
      <c r="L318" s="13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2"/>
      <c r="J319" s="13"/>
      <c r="K319" s="13"/>
      <c r="L319" s="13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2"/>
      <c r="J320" s="13"/>
      <c r="K320" s="13"/>
      <c r="L320" s="13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2"/>
      <c r="J321" s="13"/>
      <c r="K321" s="13"/>
      <c r="L321" s="13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2"/>
      <c r="J322" s="13"/>
      <c r="K322" s="13"/>
      <c r="L322" s="13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2"/>
      <c r="J323" s="13"/>
      <c r="K323" s="13"/>
      <c r="L323" s="13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2"/>
      <c r="J324" s="13"/>
      <c r="K324" s="13"/>
      <c r="L324" s="13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2"/>
      <c r="J325" s="13"/>
      <c r="K325" s="13"/>
      <c r="L325" s="13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2"/>
      <c r="J326" s="13"/>
      <c r="K326" s="13"/>
      <c r="L326" s="13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2"/>
      <c r="J327" s="13"/>
      <c r="K327" s="13"/>
      <c r="L327" s="13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2"/>
      <c r="J328" s="13"/>
      <c r="K328" s="13"/>
      <c r="L328" s="13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2"/>
      <c r="J329" s="13"/>
      <c r="K329" s="13"/>
      <c r="L329" s="13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2"/>
      <c r="J330" s="13"/>
      <c r="K330" s="13"/>
      <c r="L330" s="13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2"/>
      <c r="J331" s="13"/>
      <c r="K331" s="13"/>
      <c r="L331" s="13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2"/>
      <c r="J332" s="13"/>
      <c r="K332" s="13"/>
      <c r="L332" s="13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2"/>
      <c r="J333" s="13"/>
      <c r="K333" s="13"/>
      <c r="L333" s="13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2"/>
      <c r="J334" s="13"/>
      <c r="K334" s="13"/>
      <c r="L334" s="13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2"/>
      <c r="J335" s="13"/>
      <c r="K335" s="13"/>
      <c r="L335" s="13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2"/>
      <c r="J336" s="13"/>
      <c r="K336" s="13"/>
      <c r="L336" s="13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2"/>
      <c r="J337" s="13"/>
      <c r="K337" s="13"/>
      <c r="L337" s="13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2"/>
      <c r="J338" s="13"/>
      <c r="K338" s="13"/>
      <c r="L338" s="13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2"/>
      <c r="J339" s="13"/>
      <c r="K339" s="13"/>
      <c r="L339" s="13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2"/>
      <c r="J340" s="13"/>
      <c r="K340" s="13"/>
      <c r="L340" s="13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2"/>
      <c r="J341" s="13"/>
      <c r="K341" s="13"/>
      <c r="L341" s="13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2"/>
      <c r="J342" s="13"/>
      <c r="K342" s="13"/>
      <c r="L342" s="13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2"/>
      <c r="J343" s="13"/>
      <c r="K343" s="13"/>
      <c r="L343" s="13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2"/>
      <c r="J344" s="13"/>
      <c r="K344" s="13"/>
      <c r="L344" s="13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2"/>
      <c r="J345" s="13"/>
      <c r="K345" s="13"/>
      <c r="L345" s="13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2"/>
      <c r="J346" s="13"/>
      <c r="K346" s="13"/>
      <c r="L346" s="13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2"/>
      <c r="J347" s="13"/>
      <c r="K347" s="13"/>
      <c r="L347" s="13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2"/>
      <c r="J348" s="13"/>
      <c r="K348" s="13"/>
      <c r="L348" s="13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2"/>
      <c r="J349" s="13"/>
      <c r="K349" s="13"/>
      <c r="L349" s="13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2"/>
      <c r="J350" s="13"/>
      <c r="K350" s="13"/>
      <c r="L350" s="13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2"/>
      <c r="J351" s="13"/>
      <c r="K351" s="13"/>
      <c r="L351" s="13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2"/>
      <c r="J352" s="13"/>
      <c r="K352" s="13"/>
      <c r="L352" s="13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2"/>
      <c r="J353" s="13"/>
      <c r="K353" s="13"/>
      <c r="L353" s="13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2"/>
      <c r="J354" s="13"/>
      <c r="K354" s="13"/>
      <c r="L354" s="13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2"/>
      <c r="J355" s="13"/>
      <c r="K355" s="13"/>
      <c r="L355" s="13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2"/>
      <c r="J356" s="13"/>
      <c r="K356" s="13"/>
      <c r="L356" s="13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2"/>
      <c r="J357" s="13"/>
      <c r="K357" s="13"/>
      <c r="L357" s="13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2"/>
      <c r="J358" s="13"/>
      <c r="K358" s="13"/>
      <c r="L358" s="13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2"/>
      <c r="J359" s="13"/>
      <c r="K359" s="13"/>
      <c r="L359" s="13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2"/>
      <c r="J360" s="13"/>
      <c r="K360" s="13"/>
      <c r="L360" s="13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2"/>
      <c r="J361" s="13"/>
      <c r="K361" s="13"/>
      <c r="L361" s="13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2"/>
      <c r="J362" s="13"/>
      <c r="K362" s="13"/>
      <c r="L362" s="13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2"/>
      <c r="J363" s="13"/>
      <c r="K363" s="13"/>
      <c r="L363" s="13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2"/>
      <c r="J364" s="13"/>
      <c r="K364" s="13"/>
      <c r="L364" s="13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2"/>
      <c r="J365" s="13"/>
      <c r="K365" s="13"/>
      <c r="L365" s="13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2"/>
      <c r="J366" s="13"/>
      <c r="K366" s="13"/>
      <c r="L366" s="13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2"/>
      <c r="J367" s="13"/>
      <c r="K367" s="13"/>
      <c r="L367" s="13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2"/>
      <c r="J368" s="13"/>
      <c r="K368" s="13"/>
      <c r="L368" s="13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2"/>
      <c r="J369" s="13"/>
      <c r="K369" s="13"/>
      <c r="L369" s="13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2"/>
      <c r="J370" s="13"/>
      <c r="K370" s="13"/>
      <c r="L370" s="13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2"/>
      <c r="J371" s="13"/>
      <c r="K371" s="13"/>
      <c r="L371" s="13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2"/>
      <c r="J372" s="13"/>
      <c r="K372" s="13"/>
      <c r="L372" s="13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2"/>
      <c r="J373" s="13"/>
      <c r="K373" s="13"/>
      <c r="L373" s="13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2"/>
      <c r="J374" s="13"/>
      <c r="K374" s="13"/>
      <c r="L374" s="13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2"/>
      <c r="J375" s="13"/>
      <c r="K375" s="13"/>
      <c r="L375" s="13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2"/>
      <c r="J376" s="13"/>
      <c r="K376" s="13"/>
      <c r="L376" s="13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2"/>
      <c r="J377" s="13"/>
      <c r="K377" s="13"/>
      <c r="L377" s="13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2"/>
      <c r="J378" s="13"/>
      <c r="K378" s="13"/>
      <c r="L378" s="13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2"/>
      <c r="J379" s="13"/>
      <c r="K379" s="13"/>
      <c r="L379" s="13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2"/>
      <c r="J380" s="13"/>
      <c r="K380" s="13"/>
      <c r="L380" s="13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2"/>
      <c r="J381" s="13"/>
      <c r="K381" s="13"/>
      <c r="L381" s="13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2"/>
      <c r="J382" s="13"/>
      <c r="K382" s="13"/>
      <c r="L382" s="13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2"/>
      <c r="J383" s="13"/>
      <c r="K383" s="13"/>
      <c r="L383" s="13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2"/>
      <c r="J384" s="13"/>
      <c r="K384" s="13"/>
      <c r="L384" s="13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2"/>
      <c r="J385" s="13"/>
      <c r="K385" s="13"/>
      <c r="L385" s="13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2"/>
      <c r="J386" s="13"/>
      <c r="K386" s="13"/>
      <c r="L386" s="13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2"/>
      <c r="J387" s="13"/>
      <c r="K387" s="13"/>
      <c r="L387" s="13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2"/>
      <c r="J388" s="13"/>
      <c r="K388" s="13"/>
      <c r="L388" s="13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2"/>
      <c r="J389" s="13"/>
      <c r="K389" s="13"/>
      <c r="L389" s="13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2"/>
      <c r="J390" s="13"/>
      <c r="K390" s="13"/>
      <c r="L390" s="13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2"/>
      <c r="J391" s="13"/>
      <c r="K391" s="13"/>
      <c r="L391" s="13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2"/>
      <c r="J392" s="13"/>
      <c r="K392" s="13"/>
      <c r="L392" s="13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2"/>
      <c r="J393" s="13"/>
      <c r="K393" s="13"/>
      <c r="L393" s="13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2"/>
      <c r="J394" s="13"/>
      <c r="K394" s="13"/>
      <c r="L394" s="13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2"/>
      <c r="J395" s="13"/>
      <c r="K395" s="13"/>
      <c r="L395" s="13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47">
        <v>401591</v>
      </c>
      <c r="J396" s="13"/>
      <c r="K396" s="13"/>
      <c r="L396" s="13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47">
        <v>2000000</v>
      </c>
      <c r="J397" s="13"/>
      <c r="K397" s="13"/>
      <c r="L397" s="13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47">
        <v>1477763</v>
      </c>
      <c r="J398" s="13"/>
      <c r="K398" s="13"/>
      <c r="L398" s="13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47">
        <v>149016</v>
      </c>
      <c r="J399" s="13"/>
      <c r="K399" s="13"/>
      <c r="L399" s="13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48"/>
      <c r="J400" s="13"/>
      <c r="K400" s="13"/>
      <c r="L400" s="13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47">
        <v>22054</v>
      </c>
      <c r="J401" s="13"/>
      <c r="K401" s="13"/>
      <c r="L401" s="13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47">
        <v>324118</v>
      </c>
      <c r="J402" s="13"/>
      <c r="K402" s="13"/>
      <c r="L402" s="13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2"/>
      <c r="J403" s="13"/>
      <c r="K403" s="13"/>
      <c r="L403" s="13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2"/>
      <c r="J404" s="13"/>
      <c r="K404" s="13"/>
      <c r="L404" s="13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2"/>
      <c r="J405" s="13"/>
      <c r="K405" s="13"/>
      <c r="L405" s="13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2"/>
      <c r="J406" s="13"/>
      <c r="K406" s="13"/>
      <c r="L406" s="13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2"/>
      <c r="J407" s="13"/>
      <c r="K407" s="13"/>
      <c r="L407" s="13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2"/>
      <c r="J408" s="13"/>
      <c r="K408" s="13"/>
      <c r="L408" s="13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2"/>
      <c r="J409" s="13"/>
      <c r="K409" s="13"/>
      <c r="L409" s="13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2"/>
      <c r="J410" s="13"/>
      <c r="K410" s="13"/>
      <c r="L410" s="13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2"/>
      <c r="J411" s="13"/>
      <c r="K411" s="13"/>
      <c r="L411" s="13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2"/>
      <c r="J412" s="13"/>
      <c r="K412" s="13"/>
      <c r="L412" s="13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2"/>
      <c r="J413" s="13"/>
      <c r="K413" s="13"/>
      <c r="L413" s="13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2"/>
      <c r="J414" s="13"/>
      <c r="K414" s="13"/>
      <c r="L414" s="13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2"/>
      <c r="J415" s="13"/>
      <c r="K415" s="13"/>
      <c r="L415" s="13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2"/>
      <c r="J416" s="13"/>
      <c r="K416" s="13"/>
      <c r="L416" s="13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2"/>
      <c r="J417" s="13"/>
      <c r="K417" s="13"/>
      <c r="L417" s="13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2"/>
      <c r="J418" s="13"/>
      <c r="K418" s="13"/>
      <c r="L418" s="13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2"/>
      <c r="J419" s="13"/>
      <c r="K419" s="13"/>
      <c r="L419" s="13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2"/>
      <c r="J420" s="13"/>
      <c r="K420" s="13"/>
      <c r="L420" s="13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2"/>
      <c r="J421" s="13"/>
      <c r="K421" s="13"/>
      <c r="L421" s="13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2"/>
      <c r="J422" s="13"/>
      <c r="K422" s="13"/>
      <c r="L422" s="13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2"/>
      <c r="J423" s="13"/>
      <c r="K423" s="13"/>
      <c r="L423" s="13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2"/>
      <c r="J424" s="13"/>
      <c r="K424" s="13"/>
      <c r="L424" s="13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2"/>
      <c r="J425" s="13"/>
      <c r="K425" s="13"/>
      <c r="L425" s="13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2"/>
      <c r="J426" s="13"/>
      <c r="K426" s="13"/>
      <c r="L426" s="13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2"/>
      <c r="J427" s="13"/>
      <c r="K427" s="13"/>
      <c r="L427" s="13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2"/>
      <c r="J428" s="13"/>
      <c r="K428" s="13"/>
      <c r="L428" s="13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2"/>
      <c r="J429" s="13"/>
      <c r="K429" s="13"/>
      <c r="L429" s="13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2"/>
      <c r="J430" s="13"/>
      <c r="K430" s="13"/>
      <c r="L430" s="13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2"/>
      <c r="J431" s="13"/>
      <c r="K431" s="13"/>
      <c r="L431" s="13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2"/>
      <c r="J432" s="13"/>
      <c r="K432" s="13"/>
      <c r="L432" s="13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2"/>
      <c r="J433" s="13"/>
      <c r="K433" s="13"/>
      <c r="L433" s="13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2"/>
      <c r="J434" s="13"/>
      <c r="K434" s="13"/>
      <c r="L434" s="13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2"/>
      <c r="J435" s="13"/>
      <c r="K435" s="13"/>
      <c r="L435" s="13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2"/>
      <c r="J436" s="13"/>
      <c r="K436" s="13"/>
      <c r="L436" s="13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2"/>
      <c r="J437" s="13"/>
      <c r="K437" s="13"/>
      <c r="L437" s="13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2"/>
      <c r="J438" s="13"/>
      <c r="K438" s="13"/>
      <c r="L438" s="13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2"/>
      <c r="J439" s="13"/>
      <c r="K439" s="13"/>
      <c r="L439" s="13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2"/>
      <c r="J440" s="13"/>
      <c r="K440" s="13"/>
      <c r="L440" s="13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2"/>
      <c r="J441" s="13"/>
      <c r="K441" s="13"/>
      <c r="L441" s="13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2"/>
      <c r="J442" s="13"/>
      <c r="K442" s="13"/>
      <c r="L442" s="13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2"/>
      <c r="J443" s="13"/>
      <c r="K443" s="13"/>
      <c r="L443" s="13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2"/>
      <c r="J444" s="13"/>
      <c r="K444" s="13"/>
      <c r="L444" s="13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2"/>
      <c r="J445" s="13"/>
      <c r="K445" s="13"/>
      <c r="L445" s="13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2"/>
      <c r="J446" s="13"/>
      <c r="K446" s="13"/>
      <c r="L446" s="13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2"/>
      <c r="J447" s="13"/>
      <c r="K447" s="13"/>
      <c r="L447" s="13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2"/>
      <c r="J448" s="13"/>
      <c r="K448" s="13"/>
      <c r="L448" s="13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2"/>
      <c r="J449" s="13"/>
      <c r="K449" s="13"/>
      <c r="L449" s="13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2"/>
      <c r="J450" s="13"/>
      <c r="K450" s="13"/>
      <c r="L450" s="13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2"/>
      <c r="J451" s="13"/>
      <c r="K451" s="13"/>
      <c r="L451" s="13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2"/>
      <c r="J452" s="13"/>
      <c r="K452" s="13"/>
      <c r="L452" s="13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2"/>
      <c r="J453" s="13"/>
      <c r="K453" s="13"/>
      <c r="L453" s="13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2"/>
      <c r="J454" s="13"/>
      <c r="K454" s="13"/>
      <c r="L454" s="13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2"/>
      <c r="J455" s="13"/>
      <c r="K455" s="13"/>
      <c r="L455" s="13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2"/>
      <c r="J456" s="13"/>
      <c r="K456" s="13"/>
      <c r="L456" s="13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2"/>
      <c r="J457" s="13"/>
      <c r="K457" s="13"/>
      <c r="L457" s="13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2"/>
      <c r="J458" s="13"/>
      <c r="K458" s="13"/>
      <c r="L458" s="13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2"/>
      <c r="J459" s="13"/>
      <c r="K459" s="13"/>
      <c r="L459" s="13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2"/>
      <c r="J460" s="13"/>
      <c r="K460" s="13"/>
      <c r="L460" s="13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2"/>
      <c r="J461" s="13"/>
      <c r="K461" s="13"/>
      <c r="L461" s="13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2"/>
      <c r="J462" s="13"/>
      <c r="K462" s="13"/>
      <c r="L462" s="13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2"/>
      <c r="J463" s="13"/>
      <c r="K463" s="13"/>
      <c r="L463" s="13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2"/>
      <c r="J464" s="13"/>
      <c r="K464" s="13"/>
      <c r="L464" s="13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2"/>
      <c r="J465" s="13"/>
      <c r="K465" s="13"/>
      <c r="L465" s="13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2"/>
      <c r="J466" s="13"/>
      <c r="K466" s="13"/>
      <c r="L466" s="13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2"/>
      <c r="J467" s="13"/>
      <c r="K467" s="13"/>
      <c r="L467" s="13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2"/>
      <c r="J468" s="13"/>
      <c r="K468" s="13"/>
      <c r="L468" s="13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2"/>
      <c r="J469" s="13"/>
      <c r="K469" s="13"/>
      <c r="L469" s="13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2"/>
      <c r="J470" s="13"/>
      <c r="K470" s="13"/>
      <c r="L470" s="13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2"/>
      <c r="J471" s="13"/>
      <c r="K471" s="13"/>
      <c r="L471" s="13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2"/>
      <c r="J472" s="13"/>
      <c r="K472" s="13"/>
      <c r="L472" s="13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2"/>
      <c r="J473" s="13"/>
      <c r="K473" s="13"/>
      <c r="L473" s="13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2"/>
      <c r="J474" s="13"/>
      <c r="K474" s="13"/>
      <c r="L474" s="13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2"/>
      <c r="J475" s="13"/>
      <c r="K475" s="13"/>
      <c r="L475" s="13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2"/>
      <c r="J476" s="13"/>
      <c r="K476" s="13"/>
      <c r="L476" s="13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2"/>
      <c r="J477" s="13"/>
      <c r="K477" s="13"/>
      <c r="L477" s="13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2"/>
      <c r="J478" s="13"/>
      <c r="K478" s="13"/>
      <c r="L478" s="13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2"/>
      <c r="J479" s="13"/>
      <c r="K479" s="13"/>
      <c r="L479" s="13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2"/>
      <c r="J480" s="13"/>
      <c r="K480" s="13"/>
      <c r="L480" s="13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2"/>
      <c r="J481" s="13"/>
      <c r="K481" s="13"/>
      <c r="L481" s="13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2"/>
      <c r="J482" s="13"/>
      <c r="K482" s="13"/>
      <c r="L482" s="13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2"/>
      <c r="J483" s="13"/>
      <c r="K483" s="13"/>
      <c r="L483" s="13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2"/>
      <c r="J484" s="13"/>
      <c r="K484" s="13"/>
      <c r="L484" s="13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2"/>
      <c r="J485" s="13"/>
      <c r="K485" s="13"/>
      <c r="L485" s="13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2"/>
      <c r="J486" s="13"/>
      <c r="K486" s="13"/>
      <c r="L486" s="13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2"/>
      <c r="J487" s="13"/>
      <c r="K487" s="13"/>
      <c r="L487" s="13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2"/>
      <c r="J488" s="13"/>
      <c r="K488" s="13"/>
      <c r="L488" s="13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2"/>
      <c r="J489" s="13"/>
      <c r="K489" s="13"/>
      <c r="L489" s="13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2"/>
      <c r="J490" s="13"/>
      <c r="K490" s="13"/>
      <c r="L490" s="13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2"/>
      <c r="J491" s="13"/>
      <c r="K491" s="13"/>
      <c r="L491" s="13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2"/>
      <c r="J492" s="13"/>
      <c r="K492" s="13"/>
      <c r="L492" s="13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2"/>
      <c r="J493" s="13"/>
      <c r="K493" s="13"/>
      <c r="L493" s="13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2"/>
      <c r="J494" s="13"/>
      <c r="K494" s="13"/>
      <c r="L494" s="13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2"/>
      <c r="J495" s="13"/>
      <c r="K495" s="13"/>
      <c r="L495" s="13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2"/>
      <c r="J496" s="13"/>
      <c r="K496" s="13"/>
      <c r="L496" s="13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2"/>
      <c r="J497" s="13"/>
      <c r="K497" s="13"/>
      <c r="L497" s="13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2"/>
      <c r="J498" s="13"/>
      <c r="K498" s="13"/>
      <c r="L498" s="13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2"/>
      <c r="J499" s="13"/>
      <c r="K499" s="13"/>
      <c r="L499" s="13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2"/>
      <c r="J500" s="13"/>
      <c r="K500" s="13"/>
      <c r="L500" s="13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2"/>
      <c r="J501" s="13"/>
      <c r="K501" s="13"/>
      <c r="L501" s="13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2"/>
      <c r="J502" s="13"/>
      <c r="K502" s="13"/>
      <c r="L502" s="13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2"/>
      <c r="J503" s="13"/>
      <c r="K503" s="13"/>
      <c r="L503" s="13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2"/>
      <c r="J504" s="13"/>
      <c r="K504" s="13"/>
      <c r="L504" s="13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2"/>
      <c r="J505" s="13"/>
      <c r="K505" s="13"/>
      <c r="L505" s="13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2"/>
      <c r="J506" s="13"/>
      <c r="K506" s="13"/>
      <c r="L506" s="13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2"/>
      <c r="J507" s="13"/>
      <c r="K507" s="13"/>
      <c r="L507" s="13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2"/>
      <c r="J508" s="13"/>
      <c r="K508" s="13"/>
      <c r="L508" s="13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2"/>
      <c r="J509" s="13"/>
      <c r="K509" s="13"/>
      <c r="L509" s="13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2"/>
      <c r="J510" s="13"/>
      <c r="K510" s="13"/>
      <c r="L510" s="13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2"/>
      <c r="J511" s="13"/>
      <c r="K511" s="13"/>
      <c r="L511" s="13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2"/>
      <c r="J512" s="13"/>
      <c r="K512" s="13"/>
      <c r="L512" s="13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2"/>
      <c r="J513" s="13"/>
      <c r="K513" s="13"/>
      <c r="L513" s="13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2"/>
      <c r="J514" s="13"/>
      <c r="K514" s="13"/>
      <c r="L514" s="13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2"/>
      <c r="J515" s="13"/>
      <c r="K515" s="13"/>
      <c r="L515" s="13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2"/>
      <c r="J516" s="13"/>
      <c r="K516" s="13"/>
      <c r="L516" s="13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2"/>
      <c r="J517" s="13"/>
      <c r="K517" s="13"/>
      <c r="L517" s="13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2"/>
      <c r="J518" s="13"/>
      <c r="K518" s="13"/>
      <c r="L518" s="13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2"/>
      <c r="J519" s="13"/>
      <c r="K519" s="13"/>
      <c r="L519" s="13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2"/>
      <c r="J520" s="13"/>
      <c r="K520" s="13"/>
      <c r="L520" s="13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2"/>
      <c r="J521" s="13"/>
      <c r="K521" s="13"/>
      <c r="L521" s="13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2"/>
      <c r="J522" s="13"/>
      <c r="K522" s="13"/>
      <c r="L522" s="13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2"/>
      <c r="J523" s="13"/>
      <c r="K523" s="13"/>
      <c r="L523" s="13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2"/>
      <c r="J524" s="13"/>
      <c r="K524" s="13"/>
      <c r="L524" s="13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2"/>
      <c r="J525" s="13"/>
      <c r="K525" s="13"/>
      <c r="L525" s="13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2"/>
      <c r="J526" s="13"/>
      <c r="K526" s="13"/>
      <c r="L526" s="13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2"/>
      <c r="J527" s="13"/>
      <c r="K527" s="13"/>
      <c r="L527" s="13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2"/>
      <c r="J528" s="13"/>
      <c r="K528" s="13"/>
      <c r="L528" s="13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2"/>
      <c r="J529" s="13"/>
      <c r="K529" s="13"/>
      <c r="L529" s="13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2"/>
      <c r="J530" s="13"/>
      <c r="K530" s="13"/>
      <c r="L530" s="13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2"/>
      <c r="J531" s="13"/>
      <c r="K531" s="13"/>
      <c r="L531" s="13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2"/>
      <c r="J532" s="13"/>
      <c r="K532" s="13"/>
      <c r="L532" s="13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2"/>
      <c r="J533" s="13"/>
      <c r="K533" s="13"/>
      <c r="L533" s="13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2"/>
      <c r="J534" s="13"/>
      <c r="K534" s="13"/>
      <c r="L534" s="13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2"/>
      <c r="J535" s="13"/>
      <c r="K535" s="13"/>
      <c r="L535" s="13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2"/>
      <c r="J536" s="13"/>
      <c r="K536" s="13"/>
      <c r="L536" s="13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2"/>
      <c r="J537" s="13"/>
      <c r="K537" s="13"/>
      <c r="L537" s="13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2"/>
      <c r="J538" s="13"/>
      <c r="K538" s="13"/>
      <c r="L538" s="13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2"/>
      <c r="J539" s="13"/>
      <c r="K539" s="13"/>
      <c r="L539" s="13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2"/>
      <c r="J540" s="13"/>
      <c r="K540" s="13"/>
      <c r="L540" s="13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2"/>
      <c r="J541" s="13"/>
      <c r="K541" s="13"/>
      <c r="L541" s="13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2"/>
      <c r="J542" s="13"/>
      <c r="K542" s="13"/>
      <c r="L542" s="13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2"/>
      <c r="J543" s="13"/>
      <c r="K543" s="13"/>
      <c r="L543" s="13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2"/>
      <c r="J544" s="13"/>
      <c r="K544" s="13"/>
      <c r="L544" s="13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2"/>
      <c r="J545" s="13"/>
      <c r="K545" s="13"/>
      <c r="L545" s="13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2"/>
      <c r="J546" s="13"/>
      <c r="K546" s="13"/>
      <c r="L546" s="13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2"/>
      <c r="J547" s="13"/>
      <c r="K547" s="13"/>
      <c r="L547" s="13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2"/>
      <c r="J548" s="13"/>
      <c r="K548" s="13"/>
      <c r="L548" s="13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2"/>
      <c r="J549" s="13"/>
      <c r="K549" s="13"/>
      <c r="L549" s="13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2"/>
      <c r="J550" s="13"/>
      <c r="K550" s="13"/>
      <c r="L550" s="13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2"/>
      <c r="J551" s="13"/>
      <c r="K551" s="13"/>
      <c r="L551" s="13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2"/>
      <c r="J552" s="13"/>
      <c r="K552" s="13"/>
      <c r="L552" s="13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2"/>
      <c r="J553" s="13"/>
      <c r="K553" s="13"/>
      <c r="L553" s="13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2"/>
      <c r="J554" s="13"/>
      <c r="K554" s="13"/>
      <c r="L554" s="13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2"/>
      <c r="J555" s="13"/>
      <c r="K555" s="13"/>
      <c r="L555" s="13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2"/>
      <c r="J556" s="13"/>
      <c r="K556" s="13"/>
      <c r="L556" s="13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2"/>
      <c r="J557" s="13"/>
      <c r="K557" s="13"/>
      <c r="L557" s="13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2"/>
      <c r="J558" s="13"/>
      <c r="K558" s="13"/>
      <c r="L558" s="13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2"/>
      <c r="J559" s="13"/>
      <c r="K559" s="13"/>
      <c r="L559" s="13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2"/>
      <c r="J560" s="13"/>
      <c r="K560" s="13"/>
      <c r="L560" s="13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2"/>
      <c r="J561" s="13"/>
      <c r="K561" s="13"/>
      <c r="L561" s="13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2"/>
      <c r="J562" s="13"/>
      <c r="K562" s="13"/>
      <c r="L562" s="13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2"/>
      <c r="J563" s="13"/>
      <c r="K563" s="13"/>
      <c r="L563" s="13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2"/>
      <c r="J564" s="13"/>
      <c r="K564" s="13"/>
      <c r="L564" s="13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2"/>
      <c r="J565" s="13"/>
      <c r="K565" s="13"/>
      <c r="L565" s="13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2"/>
      <c r="J566" s="13"/>
      <c r="K566" s="13"/>
      <c r="L566" s="13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2"/>
      <c r="J567" s="13"/>
      <c r="K567" s="13"/>
      <c r="L567" s="13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2"/>
      <c r="J568" s="13"/>
      <c r="K568" s="13"/>
      <c r="L568" s="13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2"/>
      <c r="J569" s="13"/>
      <c r="K569" s="13"/>
      <c r="L569" s="13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2"/>
      <c r="J570" s="13"/>
      <c r="K570" s="13"/>
      <c r="L570" s="13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2"/>
      <c r="J571" s="13"/>
      <c r="K571" s="13"/>
      <c r="L571" s="13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2"/>
      <c r="J572" s="13"/>
      <c r="K572" s="13"/>
      <c r="L572" s="13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2"/>
      <c r="J573" s="13"/>
      <c r="K573" s="13"/>
      <c r="L573" s="13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2"/>
      <c r="J574" s="13"/>
      <c r="K574" s="13"/>
      <c r="L574" s="13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2"/>
      <c r="J575" s="13"/>
      <c r="K575" s="13"/>
      <c r="L575" s="13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2"/>
      <c r="J576" s="13"/>
      <c r="K576" s="13"/>
      <c r="L576" s="13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2"/>
      <c r="J577" s="13"/>
      <c r="K577" s="13"/>
      <c r="L577" s="13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2"/>
      <c r="J578" s="13"/>
      <c r="K578" s="13"/>
      <c r="L578" s="13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2"/>
      <c r="J579" s="13"/>
      <c r="K579" s="13"/>
      <c r="L579" s="13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2"/>
      <c r="J580" s="13"/>
      <c r="K580" s="13"/>
      <c r="L580" s="13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2"/>
      <c r="J581" s="13"/>
      <c r="K581" s="13"/>
      <c r="L581" s="13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2"/>
      <c r="J582" s="13"/>
      <c r="K582" s="13"/>
      <c r="L582" s="13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2"/>
      <c r="J583" s="13"/>
      <c r="K583" s="13"/>
      <c r="L583" s="13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2"/>
      <c r="J584" s="13"/>
      <c r="K584" s="13"/>
      <c r="L584" s="13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2"/>
      <c r="J585" s="13"/>
      <c r="K585" s="13"/>
      <c r="L585" s="13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2"/>
      <c r="J586" s="13"/>
      <c r="K586" s="13"/>
      <c r="L586" s="13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2"/>
      <c r="J587" s="13"/>
      <c r="K587" s="13"/>
      <c r="L587" s="13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2"/>
      <c r="J588" s="13"/>
      <c r="K588" s="13"/>
      <c r="L588" s="13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2"/>
      <c r="J589" s="13"/>
      <c r="K589" s="13"/>
      <c r="L589" s="13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2"/>
      <c r="J590" s="13"/>
      <c r="K590" s="13"/>
      <c r="L590" s="13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2"/>
      <c r="J591" s="13"/>
      <c r="K591" s="13"/>
      <c r="L591" s="13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2"/>
      <c r="J592" s="13"/>
      <c r="K592" s="13"/>
      <c r="L592" s="13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2"/>
      <c r="J593" s="13"/>
      <c r="K593" s="13"/>
      <c r="L593" s="13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2"/>
      <c r="J594" s="13"/>
      <c r="K594" s="13"/>
      <c r="L594" s="13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2"/>
      <c r="J595" s="13"/>
      <c r="K595" s="13"/>
      <c r="L595" s="13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2"/>
      <c r="J596" s="13"/>
      <c r="K596" s="13"/>
      <c r="L596" s="13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2"/>
      <c r="J597" s="13"/>
      <c r="K597" s="13"/>
      <c r="L597" s="13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2"/>
      <c r="J598" s="13"/>
      <c r="K598" s="13"/>
      <c r="L598" s="13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2"/>
      <c r="J599" s="13"/>
      <c r="K599" s="13"/>
      <c r="L599" s="13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2"/>
      <c r="J600" s="13"/>
      <c r="K600" s="13"/>
      <c r="L600" s="13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2"/>
      <c r="J601" s="13"/>
      <c r="K601" s="13"/>
      <c r="L601" s="13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2"/>
      <c r="J602" s="13"/>
      <c r="K602" s="13"/>
      <c r="L602" s="13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2"/>
      <c r="J603" s="13"/>
      <c r="K603" s="13"/>
      <c r="L603" s="13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2"/>
      <c r="J604" s="13"/>
      <c r="K604" s="13"/>
      <c r="L604" s="13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2"/>
      <c r="J605" s="13"/>
      <c r="K605" s="13"/>
      <c r="L605" s="13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2"/>
      <c r="J606" s="13"/>
      <c r="K606" s="13"/>
      <c r="L606" s="13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2"/>
      <c r="J607" s="13"/>
      <c r="K607" s="13"/>
      <c r="L607" s="13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2"/>
      <c r="J608" s="13"/>
      <c r="K608" s="13"/>
      <c r="L608" s="13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2"/>
      <c r="J609" s="13"/>
      <c r="K609" s="13"/>
      <c r="L609" s="13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2"/>
      <c r="J610" s="13"/>
      <c r="K610" s="13"/>
      <c r="L610" s="13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2"/>
      <c r="J611" s="13"/>
      <c r="K611" s="13"/>
      <c r="L611" s="13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2"/>
      <c r="J612" s="13"/>
      <c r="K612" s="13"/>
      <c r="L612" s="13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2"/>
      <c r="J613" s="13"/>
      <c r="K613" s="13"/>
      <c r="L613" s="13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2"/>
      <c r="J614" s="13"/>
      <c r="K614" s="13"/>
      <c r="L614" s="13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2"/>
      <c r="J615" s="13"/>
      <c r="K615" s="13"/>
      <c r="L615" s="13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2"/>
      <c r="J616" s="13"/>
      <c r="K616" s="13"/>
      <c r="L616" s="13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2"/>
      <c r="J617" s="13"/>
      <c r="K617" s="13"/>
      <c r="L617" s="13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2"/>
      <c r="J618" s="13"/>
      <c r="K618" s="13"/>
      <c r="L618" s="13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2"/>
      <c r="J619" s="13"/>
      <c r="K619" s="13"/>
      <c r="L619" s="13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2"/>
      <c r="J620" s="13"/>
      <c r="K620" s="13"/>
      <c r="L620" s="13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2"/>
      <c r="J621" s="13"/>
      <c r="K621" s="13"/>
      <c r="L621" s="13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2"/>
      <c r="J622" s="13"/>
      <c r="K622" s="13"/>
      <c r="L622" s="13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2"/>
      <c r="J623" s="13"/>
      <c r="K623" s="13"/>
      <c r="L623" s="13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2"/>
      <c r="J624" s="13"/>
      <c r="K624" s="13"/>
      <c r="L624" s="13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2"/>
      <c r="J625" s="13"/>
      <c r="K625" s="13"/>
      <c r="L625" s="13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2"/>
      <c r="J626" s="13"/>
      <c r="K626" s="13"/>
      <c r="L626" s="13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2"/>
      <c r="J627" s="13"/>
      <c r="K627" s="13"/>
      <c r="L627" s="13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2"/>
      <c r="J628" s="13"/>
      <c r="K628" s="13"/>
      <c r="L628" s="13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2"/>
      <c r="J629" s="13"/>
      <c r="K629" s="13"/>
      <c r="L629" s="13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2"/>
      <c r="J630" s="13"/>
      <c r="K630" s="13"/>
      <c r="L630" s="13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2"/>
      <c r="J631" s="13"/>
      <c r="K631" s="13"/>
      <c r="L631" s="13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2"/>
      <c r="J632" s="13"/>
      <c r="K632" s="13"/>
      <c r="L632" s="13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2"/>
      <c r="J633" s="13"/>
      <c r="K633" s="13"/>
      <c r="L633" s="13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2"/>
      <c r="J634" s="13"/>
      <c r="K634" s="13"/>
      <c r="L634" s="13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2"/>
      <c r="J635" s="13"/>
      <c r="K635" s="13"/>
      <c r="L635" s="13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2"/>
      <c r="J636" s="13"/>
      <c r="K636" s="13"/>
      <c r="L636" s="13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2"/>
      <c r="J637" s="13"/>
      <c r="K637" s="13"/>
      <c r="L637" s="13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2"/>
      <c r="J638" s="13"/>
      <c r="K638" s="13"/>
      <c r="L638" s="13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2"/>
      <c r="J639" s="13"/>
      <c r="K639" s="13"/>
      <c r="L639" s="13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2"/>
      <c r="J640" s="13"/>
      <c r="K640" s="13"/>
      <c r="L640" s="13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2"/>
      <c r="J641" s="13"/>
      <c r="K641" s="13"/>
      <c r="L641" s="13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2"/>
      <c r="J642" s="13"/>
      <c r="K642" s="13"/>
      <c r="L642" s="13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2"/>
      <c r="J643" s="13"/>
      <c r="K643" s="13"/>
      <c r="L643" s="13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2"/>
      <c r="J644" s="13"/>
      <c r="K644" s="13"/>
      <c r="L644" s="13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2"/>
      <c r="J645" s="13"/>
      <c r="K645" s="13"/>
      <c r="L645" s="13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2"/>
      <c r="J646" s="13"/>
      <c r="K646" s="13"/>
      <c r="L646" s="13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2"/>
      <c r="J647" s="13"/>
      <c r="K647" s="13"/>
      <c r="L647" s="13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2"/>
      <c r="J648" s="13"/>
      <c r="K648" s="13"/>
      <c r="L648" s="13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2"/>
      <c r="J649" s="13"/>
      <c r="K649" s="13"/>
      <c r="L649" s="13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2"/>
      <c r="J650" s="13"/>
      <c r="K650" s="13"/>
      <c r="L650" s="13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2"/>
      <c r="J651" s="13"/>
      <c r="K651" s="13"/>
      <c r="L651" s="13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2"/>
      <c r="J652" s="13"/>
      <c r="K652" s="13"/>
      <c r="L652" s="13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2"/>
      <c r="J653" s="13"/>
      <c r="K653" s="13"/>
      <c r="L653" s="13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2"/>
      <c r="J654" s="13"/>
      <c r="K654" s="13"/>
      <c r="L654" s="13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2"/>
      <c r="J655" s="13"/>
      <c r="K655" s="13"/>
      <c r="L655" s="13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2"/>
      <c r="J656" s="13"/>
      <c r="K656" s="13"/>
      <c r="L656" s="13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2"/>
      <c r="J657" s="13"/>
      <c r="K657" s="13"/>
      <c r="L657" s="13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2"/>
      <c r="J658" s="13"/>
      <c r="K658" s="13"/>
      <c r="L658" s="13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2"/>
      <c r="J659" s="13"/>
      <c r="K659" s="13"/>
      <c r="L659" s="13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2"/>
      <c r="J660" s="13"/>
      <c r="K660" s="13"/>
      <c r="L660" s="13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2"/>
      <c r="J661" s="13"/>
      <c r="K661" s="13"/>
      <c r="L661" s="13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2"/>
      <c r="J662" s="13"/>
      <c r="K662" s="13"/>
      <c r="L662" s="13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2"/>
      <c r="J663" s="13"/>
      <c r="K663" s="13"/>
      <c r="L663" s="13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2"/>
      <c r="J664" s="13"/>
      <c r="K664" s="13"/>
      <c r="L664" s="13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2"/>
      <c r="J665" s="13"/>
      <c r="K665" s="13"/>
      <c r="L665" s="13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2"/>
      <c r="J666" s="13"/>
      <c r="K666" s="13"/>
      <c r="L666" s="13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2"/>
      <c r="J667" s="13"/>
      <c r="K667" s="13"/>
      <c r="L667" s="13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2"/>
      <c r="J668" s="13"/>
      <c r="K668" s="13"/>
      <c r="L668" s="13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2"/>
      <c r="J669" s="13"/>
      <c r="K669" s="13"/>
      <c r="L669" s="13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2"/>
      <c r="J670" s="13"/>
      <c r="K670" s="13"/>
      <c r="L670" s="13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2"/>
      <c r="J671" s="13"/>
      <c r="K671" s="13"/>
      <c r="L671" s="13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2"/>
      <c r="J672" s="13"/>
      <c r="K672" s="13"/>
      <c r="L672" s="13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2"/>
      <c r="J673" s="13"/>
      <c r="K673" s="13"/>
      <c r="L673" s="13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2"/>
      <c r="J674" s="13"/>
      <c r="K674" s="13"/>
      <c r="L674" s="13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2"/>
      <c r="J675" s="13"/>
      <c r="K675" s="13"/>
      <c r="L675" s="13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2"/>
      <c r="J676" s="13"/>
      <c r="K676" s="13"/>
      <c r="L676" s="13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2"/>
      <c r="J677" s="13"/>
      <c r="K677" s="13"/>
      <c r="L677" s="13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2"/>
      <c r="J678" s="13"/>
      <c r="K678" s="13"/>
      <c r="L678" s="13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2"/>
      <c r="J679" s="13"/>
      <c r="K679" s="13"/>
      <c r="L679" s="13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2"/>
      <c r="J680" s="13"/>
      <c r="K680" s="13"/>
      <c r="L680" s="13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2"/>
      <c r="J681" s="13"/>
      <c r="K681" s="13"/>
      <c r="L681" s="13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2"/>
      <c r="J682" s="13"/>
      <c r="K682" s="13"/>
      <c r="L682" s="13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2"/>
      <c r="J683" s="13"/>
      <c r="K683" s="13"/>
      <c r="L683" s="13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2"/>
      <c r="J684" s="13"/>
      <c r="K684" s="13"/>
      <c r="L684" s="13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2"/>
      <c r="J685" s="13"/>
      <c r="K685" s="13"/>
      <c r="L685" s="13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2"/>
      <c r="J686" s="13"/>
      <c r="K686" s="13"/>
      <c r="L686" s="13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2"/>
      <c r="J687" s="13"/>
      <c r="K687" s="13"/>
      <c r="L687" s="13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2"/>
      <c r="J688" s="13"/>
      <c r="K688" s="13"/>
      <c r="L688" s="13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2"/>
      <c r="J689" s="13"/>
      <c r="K689" s="13"/>
      <c r="L689" s="13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2"/>
      <c r="J690" s="13"/>
      <c r="K690" s="13"/>
      <c r="L690" s="13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2"/>
      <c r="J691" s="13"/>
      <c r="K691" s="13"/>
      <c r="L691" s="13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2"/>
      <c r="J692" s="13"/>
      <c r="K692" s="13"/>
      <c r="L692" s="13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2"/>
      <c r="J693" s="13"/>
      <c r="K693" s="13"/>
      <c r="L693" s="13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2"/>
      <c r="J694" s="13"/>
      <c r="K694" s="13"/>
      <c r="L694" s="13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2"/>
      <c r="J695" s="13"/>
      <c r="K695" s="13"/>
      <c r="L695" s="13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2"/>
      <c r="J696" s="13"/>
      <c r="K696" s="13"/>
      <c r="L696" s="13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2"/>
      <c r="J697" s="13"/>
      <c r="K697" s="13"/>
      <c r="L697" s="13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2"/>
      <c r="J698" s="13"/>
      <c r="K698" s="13"/>
      <c r="L698" s="13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2"/>
      <c r="J699" s="13"/>
      <c r="K699" s="13"/>
      <c r="L699" s="13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2"/>
      <c r="J700" s="13"/>
      <c r="K700" s="13"/>
      <c r="L700" s="13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2"/>
      <c r="J701" s="13"/>
      <c r="K701" s="13"/>
      <c r="L701" s="13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2"/>
      <c r="J702" s="13"/>
      <c r="K702" s="13"/>
      <c r="L702" s="13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2"/>
      <c r="J703" s="13"/>
      <c r="K703" s="13"/>
      <c r="L703" s="13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2"/>
      <c r="J704" s="13"/>
      <c r="K704" s="13"/>
      <c r="L704" s="13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2"/>
      <c r="J705" s="13"/>
      <c r="K705" s="13"/>
      <c r="L705" s="13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2"/>
      <c r="J706" s="13"/>
      <c r="K706" s="13"/>
      <c r="L706" s="13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2"/>
      <c r="J707" s="13"/>
      <c r="K707" s="13"/>
      <c r="L707" s="13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2"/>
      <c r="J708" s="13"/>
      <c r="K708" s="13"/>
      <c r="L708" s="13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2"/>
      <c r="J709" s="13"/>
      <c r="K709" s="13"/>
      <c r="L709" s="13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2"/>
      <c r="J710" s="13"/>
      <c r="K710" s="13"/>
      <c r="L710" s="13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2"/>
      <c r="J711" s="13"/>
      <c r="K711" s="13"/>
      <c r="L711" s="13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2"/>
      <c r="J712" s="13"/>
      <c r="K712" s="13"/>
      <c r="L712" s="13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2"/>
      <c r="J713" s="13"/>
      <c r="K713" s="13"/>
      <c r="L713" s="13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2"/>
      <c r="J714" s="13"/>
      <c r="K714" s="13"/>
      <c r="L714" s="13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2"/>
      <c r="J715" s="13"/>
      <c r="K715" s="13"/>
      <c r="L715" s="13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2"/>
      <c r="J716" s="13"/>
      <c r="K716" s="13"/>
      <c r="L716" s="13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2"/>
      <c r="J717" s="13"/>
      <c r="K717" s="13"/>
      <c r="L717" s="13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2"/>
      <c r="J718" s="13"/>
      <c r="K718" s="13"/>
      <c r="L718" s="13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2"/>
      <c r="J719" s="13"/>
      <c r="K719" s="13"/>
      <c r="L719" s="13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2"/>
      <c r="J720" s="13"/>
      <c r="K720" s="13"/>
      <c r="L720" s="13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2"/>
      <c r="J721" s="13"/>
      <c r="K721" s="13"/>
      <c r="L721" s="13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2"/>
      <c r="J722" s="13"/>
      <c r="K722" s="13"/>
      <c r="L722" s="13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2"/>
      <c r="J723" s="13"/>
      <c r="K723" s="13"/>
      <c r="L723" s="13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2"/>
      <c r="J724" s="13"/>
      <c r="K724" s="13"/>
      <c r="L724" s="13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2"/>
      <c r="J725" s="13"/>
      <c r="K725" s="13"/>
      <c r="L725" s="13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2"/>
      <c r="J726" s="13"/>
      <c r="K726" s="13"/>
      <c r="L726" s="13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2"/>
      <c r="J727" s="13"/>
      <c r="K727" s="13"/>
      <c r="L727" s="13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2"/>
      <c r="J728" s="13"/>
      <c r="K728" s="13"/>
      <c r="L728" s="13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2"/>
      <c r="J729" s="13"/>
      <c r="K729" s="13"/>
      <c r="L729" s="13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2"/>
      <c r="J730" s="13"/>
      <c r="K730" s="13"/>
      <c r="L730" s="13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2"/>
      <c r="J731" s="13"/>
      <c r="K731" s="13"/>
      <c r="L731" s="13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2"/>
      <c r="J732" s="13"/>
      <c r="K732" s="13"/>
      <c r="L732" s="13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2"/>
      <c r="J733" s="13"/>
      <c r="K733" s="13"/>
      <c r="L733" s="13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2"/>
      <c r="J734" s="13"/>
      <c r="K734" s="13"/>
      <c r="L734" s="13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2"/>
      <c r="J735" s="13"/>
      <c r="K735" s="13"/>
      <c r="L735" s="13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2"/>
      <c r="J736" s="13"/>
      <c r="K736" s="13"/>
      <c r="L736" s="13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2"/>
      <c r="J737" s="13"/>
      <c r="K737" s="13"/>
      <c r="L737" s="13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2"/>
      <c r="J738" s="13"/>
      <c r="K738" s="13"/>
      <c r="L738" s="13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2"/>
      <c r="J739" s="13"/>
      <c r="K739" s="13"/>
      <c r="L739" s="13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2"/>
      <c r="J740" s="13"/>
      <c r="K740" s="13"/>
      <c r="L740" s="13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2"/>
      <c r="J741" s="13"/>
      <c r="K741" s="13"/>
      <c r="L741" s="13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2"/>
      <c r="J742" s="13"/>
      <c r="K742" s="13"/>
      <c r="L742" s="13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2"/>
      <c r="J743" s="13"/>
      <c r="K743" s="13"/>
      <c r="L743" s="13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2"/>
      <c r="J744" s="13"/>
      <c r="K744" s="13"/>
      <c r="L744" s="13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2"/>
      <c r="J745" s="13"/>
      <c r="K745" s="13"/>
      <c r="L745" s="13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2"/>
      <c r="J746" s="13"/>
      <c r="K746" s="13"/>
      <c r="L746" s="13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2"/>
      <c r="J747" s="13"/>
      <c r="K747" s="13"/>
      <c r="L747" s="13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2"/>
      <c r="J748" s="13"/>
      <c r="K748" s="13"/>
      <c r="L748" s="13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2"/>
      <c r="J749" s="13"/>
      <c r="K749" s="13"/>
      <c r="L749" s="13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2"/>
      <c r="J750" s="13"/>
      <c r="K750" s="13"/>
      <c r="L750" s="13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2"/>
      <c r="J751" s="13"/>
      <c r="K751" s="13"/>
      <c r="L751" s="13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2"/>
      <c r="J752" s="13"/>
      <c r="K752" s="13"/>
      <c r="L752" s="13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2"/>
      <c r="J753" s="13"/>
      <c r="K753" s="13"/>
      <c r="L753" s="13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2"/>
      <c r="J754" s="13"/>
      <c r="K754" s="13"/>
      <c r="L754" s="13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2"/>
      <c r="J755" s="13"/>
      <c r="K755" s="13"/>
      <c r="L755" s="13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2"/>
      <c r="J756" s="13"/>
      <c r="K756" s="13"/>
      <c r="L756" s="13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2"/>
      <c r="J757" s="13"/>
      <c r="K757" s="13"/>
      <c r="L757" s="13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2"/>
      <c r="J758" s="13"/>
      <c r="K758" s="13"/>
      <c r="L758" s="13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2"/>
      <c r="J759" s="13"/>
      <c r="K759" s="13"/>
      <c r="L759" s="13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2"/>
      <c r="J760" s="13"/>
      <c r="K760" s="13"/>
      <c r="L760" s="13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2"/>
      <c r="J761" s="13"/>
      <c r="K761" s="13"/>
      <c r="L761" s="13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2"/>
      <c r="J762" s="13"/>
      <c r="K762" s="13"/>
      <c r="L762" s="13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2"/>
      <c r="J763" s="13"/>
      <c r="K763" s="13"/>
      <c r="L763" s="13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2"/>
      <c r="J764" s="13"/>
      <c r="K764" s="13"/>
      <c r="L764" s="13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2"/>
      <c r="J765" s="13"/>
      <c r="K765" s="13"/>
      <c r="L765" s="13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2"/>
      <c r="J766" s="13"/>
      <c r="K766" s="13"/>
      <c r="L766" s="13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2"/>
      <c r="J767" s="13"/>
      <c r="K767" s="13"/>
      <c r="L767" s="13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2"/>
      <c r="J768" s="13"/>
      <c r="K768" s="13"/>
      <c r="L768" s="13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2"/>
      <c r="J769" s="13"/>
      <c r="K769" s="13"/>
      <c r="L769" s="13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2"/>
      <c r="J770" s="13"/>
      <c r="K770" s="13"/>
      <c r="L770" s="13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2"/>
      <c r="J771" s="13"/>
      <c r="K771" s="13"/>
      <c r="L771" s="13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2"/>
      <c r="J772" s="13"/>
      <c r="K772" s="13"/>
      <c r="L772" s="13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2"/>
      <c r="J773" s="13"/>
      <c r="K773" s="13"/>
      <c r="L773" s="13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2"/>
      <c r="J774" s="13"/>
      <c r="K774" s="13"/>
      <c r="L774" s="13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2"/>
      <c r="J775" s="13"/>
      <c r="K775" s="13"/>
      <c r="L775" s="13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2"/>
      <c r="J776" s="13"/>
      <c r="K776" s="13"/>
      <c r="L776" s="13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2"/>
      <c r="J777" s="13"/>
      <c r="K777" s="13"/>
      <c r="L777" s="13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2"/>
      <c r="J778" s="13"/>
      <c r="K778" s="13"/>
      <c r="L778" s="13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2"/>
      <c r="J779" s="13"/>
      <c r="K779" s="13"/>
      <c r="L779" s="13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2"/>
      <c r="J780" s="13"/>
      <c r="K780" s="13"/>
      <c r="L780" s="13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2"/>
      <c r="J781" s="13"/>
      <c r="K781" s="13"/>
      <c r="L781" s="13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2"/>
      <c r="J782" s="13"/>
      <c r="K782" s="13"/>
      <c r="L782" s="13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2"/>
      <c r="J783" s="13"/>
      <c r="K783" s="13"/>
      <c r="L783" s="13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2"/>
      <c r="J784" s="13"/>
      <c r="K784" s="13"/>
      <c r="L784" s="13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2"/>
      <c r="J785" s="13"/>
      <c r="K785" s="13"/>
      <c r="L785" s="13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2"/>
      <c r="J786" s="13"/>
      <c r="K786" s="13"/>
      <c r="L786" s="13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2"/>
      <c r="J787" s="13"/>
      <c r="K787" s="13"/>
      <c r="L787" s="13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2"/>
      <c r="J788" s="13"/>
      <c r="K788" s="13"/>
      <c r="L788" s="13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2"/>
      <c r="J789" s="13"/>
      <c r="K789" s="13"/>
      <c r="L789" s="13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2"/>
      <c r="J790" s="13"/>
      <c r="K790" s="13"/>
      <c r="L790" s="13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2"/>
      <c r="J791" s="13"/>
      <c r="K791" s="13"/>
      <c r="L791" s="13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2"/>
      <c r="J792" s="13"/>
      <c r="K792" s="13"/>
      <c r="L792" s="13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2"/>
      <c r="J793" s="13"/>
      <c r="K793" s="13"/>
      <c r="L793" s="13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2"/>
      <c r="J794" s="13"/>
      <c r="K794" s="13"/>
      <c r="L794" s="13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2"/>
      <c r="J795" s="13"/>
      <c r="K795" s="13"/>
      <c r="L795" s="13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2"/>
      <c r="J796" s="13"/>
      <c r="K796" s="13"/>
      <c r="L796" s="13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2"/>
      <c r="J797" s="13"/>
      <c r="K797" s="13"/>
      <c r="L797" s="13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2"/>
      <c r="J798" s="13"/>
      <c r="K798" s="13"/>
      <c r="L798" s="13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2"/>
      <c r="J799" s="13"/>
      <c r="K799" s="13"/>
      <c r="L799" s="13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2"/>
      <c r="J800" s="13"/>
      <c r="K800" s="13"/>
      <c r="L800" s="13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2"/>
      <c r="J801" s="13"/>
      <c r="K801" s="13"/>
      <c r="L801" s="13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2"/>
      <c r="J802" s="13"/>
      <c r="K802" s="13"/>
      <c r="L802" s="13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2"/>
      <c r="J803" s="13"/>
      <c r="K803" s="13"/>
      <c r="L803" s="13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2"/>
      <c r="J804" s="13"/>
      <c r="K804" s="13"/>
      <c r="L804" s="13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2"/>
      <c r="J805" s="13"/>
      <c r="K805" s="13"/>
      <c r="L805" s="13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1"/>
      <c r="M816" s="1"/>
      <c r="N816" s="1"/>
      <c r="O816" s="1"/>
      <c r="P816" s="1"/>
      <c r="Q816" s="1"/>
      <c r="R816" s="1"/>
      <c r="S816" s="1"/>
      <c r="T816" s="1"/>
      <c r="U816" s="1"/>
    </row>
  </sheetData>
  <pageMargins left="0.78749999999999998" right="0.78749999999999998" top="1.0249999999999999" bottom="1.0249999999999999" header="0" footer="0"/>
  <pageSetup orientation="portrait" r:id="rId1"/>
  <headerFooter>
    <oddHeader>&amp;C&amp;A</oddHeader>
    <oddFooter>&amp;CPagina &amp;P</oddFooter>
  </headerFooter>
  <ignoredErrors>
    <ignoredError sqref="B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5FC6-4316-CA42-A50F-84AE91D71C99}">
  <sheetPr>
    <tabColor rgb="FF7030A0"/>
  </sheetPr>
  <dimension ref="A1:U816"/>
  <sheetViews>
    <sheetView tabSelected="1" topLeftCell="A12" zoomScale="156" zoomScaleNormal="149" workbookViewId="0">
      <selection activeCell="B27" sqref="B27"/>
    </sheetView>
  </sheetViews>
  <sheetFormatPr baseColWidth="10" defaultColWidth="14.5" defaultRowHeight="15" customHeight="1" x14ac:dyDescent="0.15"/>
  <cols>
    <col min="1" max="1" width="43.5" customWidth="1"/>
    <col min="2" max="2" width="14.5" customWidth="1"/>
    <col min="3" max="3" width="12.83203125" customWidth="1"/>
    <col min="4" max="4" width="11.83203125" customWidth="1"/>
    <col min="5" max="5" width="9.1640625" bestFit="1" customWidth="1"/>
    <col min="6" max="6" width="15.33203125" customWidth="1"/>
    <col min="7" max="7" width="64.83203125" customWidth="1"/>
    <col min="8" max="8" width="14.1640625" customWidth="1"/>
    <col min="9" max="9" width="11.33203125" customWidth="1"/>
    <col min="10" max="12" width="15.5" customWidth="1"/>
    <col min="13" max="13" width="15.1640625" customWidth="1"/>
    <col min="14" max="21" width="8.83203125" customWidth="1"/>
  </cols>
  <sheetData>
    <row r="1" spans="1:21" ht="12.75" customHeight="1" x14ac:dyDescent="0.2">
      <c r="A1" s="1"/>
      <c r="B1" s="1"/>
      <c r="C1" s="1"/>
      <c r="D1" s="1"/>
      <c r="E1" s="1"/>
      <c r="F1" s="1"/>
      <c r="G1" s="1"/>
      <c r="H1" s="1"/>
      <c r="I1" s="12"/>
      <c r="J1" s="13"/>
      <c r="K1" s="13"/>
      <c r="L1" s="13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">
      <c r="A2" s="14" t="s">
        <v>175</v>
      </c>
      <c r="D2" s="1"/>
      <c r="E2" s="1"/>
      <c r="F2" s="1"/>
      <c r="G2" s="464"/>
      <c r="H2" s="465">
        <v>45291</v>
      </c>
      <c r="I2" s="465">
        <v>44926</v>
      </c>
      <c r="J2" s="15"/>
      <c r="K2" s="15"/>
      <c r="L2" s="15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">
      <c r="A3" s="464" t="s">
        <v>177</v>
      </c>
      <c r="B3" s="465">
        <v>45291</v>
      </c>
      <c r="C3" s="465">
        <v>44926</v>
      </c>
      <c r="D3" s="1"/>
      <c r="E3" s="1"/>
      <c r="F3" s="1"/>
      <c r="G3" s="464" t="s">
        <v>178</v>
      </c>
      <c r="H3" s="677"/>
      <c r="I3" s="477"/>
      <c r="J3" s="13"/>
      <c r="K3" s="13"/>
      <c r="L3" s="13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A4" s="464" t="s">
        <v>179</v>
      </c>
      <c r="B4" s="677"/>
      <c r="C4" s="175"/>
      <c r="D4" s="1"/>
      <c r="E4" s="1"/>
      <c r="F4" s="1"/>
      <c r="G4" s="464" t="s">
        <v>180</v>
      </c>
      <c r="H4" s="467"/>
      <c r="I4" s="467"/>
      <c r="J4" s="17"/>
      <c r="K4" s="13"/>
      <c r="L4" s="13"/>
      <c r="M4" s="1"/>
      <c r="N4" s="1"/>
      <c r="O4" s="1"/>
      <c r="P4" s="1"/>
      <c r="Q4" s="1"/>
      <c r="R4" s="1"/>
      <c r="S4" s="1"/>
      <c r="T4" s="1"/>
      <c r="U4" s="1"/>
    </row>
    <row r="5" spans="1:21" ht="12.75" customHeight="1" x14ac:dyDescent="0.2">
      <c r="A5" s="464" t="s">
        <v>181</v>
      </c>
      <c r="B5" s="677"/>
      <c r="C5" s="466"/>
      <c r="D5" s="1"/>
      <c r="E5" s="1"/>
      <c r="F5" s="1"/>
      <c r="G5" s="175" t="s">
        <v>182</v>
      </c>
      <c r="H5" s="467">
        <v>54989</v>
      </c>
      <c r="I5" s="469">
        <v>304322</v>
      </c>
      <c r="J5" s="19">
        <f>+H5-I5</f>
        <v>-249333</v>
      </c>
      <c r="K5" s="20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1" ht="12.75" customHeight="1" x14ac:dyDescent="0.2">
      <c r="A6" s="175" t="s">
        <v>183</v>
      </c>
      <c r="B6" s="467">
        <v>0</v>
      </c>
      <c r="C6" s="467">
        <v>0</v>
      </c>
      <c r="D6" s="17">
        <f>B6-C6</f>
        <v>0</v>
      </c>
      <c r="E6" s="1"/>
      <c r="F6" s="1"/>
      <c r="G6" s="175" t="s">
        <v>184</v>
      </c>
      <c r="H6" s="467">
        <v>2000000</v>
      </c>
      <c r="I6" s="469">
        <v>2000000</v>
      </c>
      <c r="J6" s="19">
        <f>+H6-I6</f>
        <v>0</v>
      </c>
      <c r="K6" s="20"/>
      <c r="L6" s="20"/>
      <c r="M6" s="1"/>
      <c r="N6" s="1"/>
      <c r="O6" s="1"/>
      <c r="P6" s="1"/>
      <c r="Q6" s="1"/>
      <c r="R6" s="1"/>
      <c r="S6" s="1"/>
      <c r="T6" s="1"/>
      <c r="U6" s="1"/>
    </row>
    <row r="7" spans="1:21" ht="12.75" customHeight="1" x14ac:dyDescent="0.2">
      <c r="A7" s="175" t="s">
        <v>185</v>
      </c>
      <c r="B7" s="467">
        <v>18002</v>
      </c>
      <c r="C7" s="467">
        <v>45115</v>
      </c>
      <c r="D7" s="17">
        <f>B7-C7</f>
        <v>-27113</v>
      </c>
      <c r="E7" s="1"/>
      <c r="F7" s="1"/>
      <c r="G7" s="175" t="s">
        <v>186</v>
      </c>
      <c r="H7" s="467">
        <f>1174510+658</f>
        <v>1175168</v>
      </c>
      <c r="I7" s="469">
        <v>1605471</v>
      </c>
      <c r="J7" s="19">
        <f>+H7-I7</f>
        <v>-430303</v>
      </c>
      <c r="K7" s="20"/>
      <c r="L7" s="155"/>
      <c r="M7" s="1"/>
      <c r="N7" s="1"/>
      <c r="O7" s="1"/>
      <c r="P7" s="1"/>
      <c r="Q7" s="1"/>
      <c r="R7" s="1"/>
      <c r="S7" s="1"/>
      <c r="T7" s="1"/>
      <c r="U7" s="1"/>
    </row>
    <row r="8" spans="1:21" ht="12.75" customHeight="1" x14ac:dyDescent="0.2">
      <c r="A8" s="175" t="s">
        <v>187</v>
      </c>
      <c r="B8" s="467">
        <v>0</v>
      </c>
      <c r="C8" s="467">
        <v>17994</v>
      </c>
      <c r="D8" s="17">
        <f>B8-C8</f>
        <v>-17994</v>
      </c>
      <c r="E8" s="1"/>
      <c r="F8" s="1"/>
      <c r="G8" s="175" t="s">
        <v>188</v>
      </c>
      <c r="H8" s="467">
        <v>128904</v>
      </c>
      <c r="I8" s="469">
        <v>83575</v>
      </c>
      <c r="J8" s="19">
        <f>+H8-I8</f>
        <v>45329</v>
      </c>
      <c r="K8" s="20"/>
      <c r="L8" s="20"/>
      <c r="M8" s="1"/>
      <c r="N8" s="1"/>
      <c r="O8" s="1"/>
      <c r="P8" s="1"/>
      <c r="Q8" s="1"/>
      <c r="R8" s="1"/>
      <c r="S8" s="1"/>
      <c r="T8" s="1"/>
      <c r="U8" s="1"/>
    </row>
    <row r="9" spans="1:21" ht="12.75" customHeight="1" x14ac:dyDescent="0.2">
      <c r="A9" s="345" t="s">
        <v>927</v>
      </c>
      <c r="B9" s="467">
        <v>202611</v>
      </c>
      <c r="C9" s="467">
        <v>80078</v>
      </c>
      <c r="D9" s="17">
        <f>B9-C9</f>
        <v>122533</v>
      </c>
      <c r="E9" s="1"/>
      <c r="F9" s="1"/>
      <c r="H9" s="467"/>
      <c r="I9" s="469"/>
      <c r="J9" s="19"/>
      <c r="K9" s="20"/>
      <c r="L9" s="20"/>
      <c r="M9" s="1"/>
      <c r="N9" s="1"/>
      <c r="O9" s="1"/>
      <c r="P9" s="1"/>
      <c r="Q9" s="1"/>
      <c r="R9" s="1"/>
      <c r="S9" s="1"/>
      <c r="T9" s="1"/>
      <c r="U9" s="1"/>
    </row>
    <row r="10" spans="1:21" ht="12.75" customHeight="1" x14ac:dyDescent="0.2">
      <c r="A10" s="464" t="s">
        <v>189</v>
      </c>
      <c r="B10" s="468">
        <f>SUM(B6:B9)</f>
        <v>220613</v>
      </c>
      <c r="C10" s="468">
        <f>SUM(C6:C9)</f>
        <v>143187</v>
      </c>
      <c r="D10" s="21">
        <f>SUM(D6:D9)</f>
        <v>77426</v>
      </c>
      <c r="E10" s="1"/>
      <c r="F10" s="1"/>
      <c r="G10" s="486" t="s">
        <v>928</v>
      </c>
      <c r="H10" s="467">
        <v>122533</v>
      </c>
      <c r="I10" s="469">
        <v>80078</v>
      </c>
      <c r="K10" s="20"/>
      <c r="L10" s="20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 x14ac:dyDescent="0.2">
      <c r="A11" s="464"/>
      <c r="B11" s="468"/>
      <c r="C11" s="468"/>
      <c r="D11" s="21"/>
      <c r="E11" s="1"/>
      <c r="F11" s="1"/>
      <c r="G11" s="486"/>
      <c r="H11" s="277"/>
      <c r="I11" s="277"/>
      <c r="K11" s="20"/>
      <c r="L11" s="20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75"/>
      <c r="B12" s="467"/>
      <c r="C12" s="467"/>
      <c r="D12" s="17"/>
      <c r="E12" s="1"/>
      <c r="F12" s="1"/>
      <c r="G12" s="464" t="s">
        <v>190</v>
      </c>
      <c r="H12" s="277"/>
      <c r="I12" s="277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464" t="s">
        <v>191</v>
      </c>
      <c r="B13" s="468"/>
      <c r="C13" s="467"/>
      <c r="D13" s="17"/>
      <c r="E13" s="1"/>
      <c r="F13" s="1"/>
      <c r="G13" s="175" t="s">
        <v>192</v>
      </c>
      <c r="H13" s="467">
        <v>989</v>
      </c>
      <c r="I13" s="469">
        <v>5368</v>
      </c>
      <c r="J13" s="19">
        <f>+H13-I13</f>
        <v>-4379</v>
      </c>
      <c r="K13" s="20"/>
      <c r="L13" s="20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75" t="s">
        <v>193</v>
      </c>
      <c r="B14" s="467">
        <v>0</v>
      </c>
      <c r="C14" s="467">
        <v>5415</v>
      </c>
      <c r="D14" s="17">
        <f>B14-C14</f>
        <v>-5415</v>
      </c>
      <c r="E14" s="1"/>
      <c r="F14" s="1"/>
      <c r="G14" s="996" t="s">
        <v>194</v>
      </c>
      <c r="H14" s="994">
        <v>435486</v>
      </c>
      <c r="I14" s="469">
        <v>507703</v>
      </c>
      <c r="J14" s="19">
        <f>+H14-I14</f>
        <v>-72217</v>
      </c>
      <c r="K14" s="20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 x14ac:dyDescent="0.2">
      <c r="A15" s="175" t="s">
        <v>195</v>
      </c>
      <c r="B15" s="467">
        <v>354469</v>
      </c>
      <c r="C15" s="467">
        <v>647546</v>
      </c>
      <c r="D15" s="17">
        <f>B15-C15</f>
        <v>-293077</v>
      </c>
      <c r="E15" s="1"/>
      <c r="F15" s="1"/>
      <c r="G15" s="464" t="s">
        <v>196</v>
      </c>
      <c r="H15" s="468">
        <f>SUM(H5:H14)</f>
        <v>3918069</v>
      </c>
      <c r="I15" s="478">
        <f>SUM(I5:I14)</f>
        <v>4586517</v>
      </c>
      <c r="J15" s="238">
        <f>+H15-I15</f>
        <v>-668448</v>
      </c>
      <c r="K15" s="20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75" t="s">
        <v>197</v>
      </c>
      <c r="B16" s="467">
        <v>406963</v>
      </c>
      <c r="C16" s="467">
        <v>306929</v>
      </c>
      <c r="D16" s="17">
        <f>B16-C16</f>
        <v>100034</v>
      </c>
      <c r="E16" s="1"/>
      <c r="F16" s="1"/>
      <c r="G16" s="277"/>
      <c r="H16" s="277"/>
      <c r="I16" s="277"/>
      <c r="K16" s="20"/>
      <c r="L16" s="20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470" t="s">
        <v>198</v>
      </c>
      <c r="B17" s="471">
        <f>+B16</f>
        <v>406963</v>
      </c>
      <c r="C17" s="471">
        <f>+C16</f>
        <v>306929</v>
      </c>
      <c r="D17" s="22">
        <f>B17-C17</f>
        <v>100034</v>
      </c>
      <c r="E17" s="1"/>
      <c r="F17" s="1"/>
      <c r="G17" s="277"/>
      <c r="H17" s="277"/>
      <c r="I17" s="277"/>
      <c r="K17" s="20"/>
      <c r="L17" s="20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464" t="s">
        <v>199</v>
      </c>
      <c r="B18" s="468">
        <f>B14+B15+B16</f>
        <v>761432</v>
      </c>
      <c r="C18" s="468">
        <f>C14+C15+C16</f>
        <v>959890</v>
      </c>
      <c r="D18" s="21">
        <f>B18-C18</f>
        <v>-198458</v>
      </c>
      <c r="E18" s="1"/>
      <c r="F18" s="1"/>
      <c r="G18" s="464" t="s">
        <v>200</v>
      </c>
      <c r="H18" s="467"/>
      <c r="I18" s="469"/>
      <c r="J18" s="19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75"/>
      <c r="B19" s="467"/>
      <c r="C19" s="467"/>
      <c r="D19" s="17"/>
      <c r="E19" s="1"/>
      <c r="F19" s="1"/>
      <c r="G19" s="175" t="s">
        <v>201</v>
      </c>
      <c r="H19" s="1068">
        <v>16833</v>
      </c>
      <c r="I19" s="467">
        <v>101378</v>
      </c>
      <c r="J19" s="19">
        <f>+H19-I19</f>
        <v>-84545</v>
      </c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464" t="s">
        <v>202</v>
      </c>
      <c r="B20" s="468">
        <f>+B10+B18</f>
        <v>982045</v>
      </c>
      <c r="C20" s="468">
        <f>+C10+C18</f>
        <v>1103077</v>
      </c>
      <c r="D20" s="23">
        <f>B20-C20</f>
        <v>-121032</v>
      </c>
      <c r="E20" s="1"/>
      <c r="F20" s="1"/>
      <c r="G20" s="345" t="s">
        <v>203</v>
      </c>
      <c r="H20" s="479"/>
      <c r="I20" s="479"/>
      <c r="J20" s="19" t="s">
        <v>204</v>
      </c>
      <c r="K20" s="20"/>
      <c r="L20" s="20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77"/>
      <c r="B21" s="277"/>
      <c r="C21" s="277"/>
      <c r="E21" s="1"/>
      <c r="F21" s="1"/>
      <c r="G21" s="175" t="s">
        <v>205</v>
      </c>
      <c r="H21" s="1068">
        <v>94156</v>
      </c>
      <c r="I21" s="467">
        <v>76403</v>
      </c>
      <c r="J21" s="19">
        <f t="shared" ref="J21:J26" si="0">+H21-I21</f>
        <v>17753</v>
      </c>
      <c r="K21" s="20"/>
      <c r="L21" s="20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75"/>
      <c r="B22" s="467"/>
      <c r="C22" s="467"/>
      <c r="D22" s="17"/>
      <c r="E22" s="1"/>
      <c r="F22" s="1"/>
      <c r="G22" s="175" t="s">
        <v>206</v>
      </c>
      <c r="H22" s="1068">
        <f>1370242+55560</f>
        <v>1425802</v>
      </c>
      <c r="I22" s="467">
        <v>1914434</v>
      </c>
      <c r="J22" s="19">
        <f t="shared" si="0"/>
        <v>-488632</v>
      </c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75"/>
      <c r="B23" s="467"/>
      <c r="C23" s="467"/>
      <c r="D23" s="17"/>
      <c r="E23" s="1"/>
      <c r="F23" s="1"/>
      <c r="G23" s="175" t="s">
        <v>207</v>
      </c>
      <c r="H23" s="1068">
        <v>124724</v>
      </c>
      <c r="I23" s="467">
        <v>132764</v>
      </c>
      <c r="J23" s="19">
        <f t="shared" si="0"/>
        <v>-8040</v>
      </c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464" t="s">
        <v>208</v>
      </c>
      <c r="B24" s="468"/>
      <c r="C24" s="467"/>
      <c r="D24" s="17"/>
      <c r="E24" s="1"/>
      <c r="F24" s="1"/>
      <c r="G24" s="175" t="s">
        <v>209</v>
      </c>
      <c r="H24" s="467"/>
      <c r="I24" s="479"/>
      <c r="J24" s="19">
        <f t="shared" si="0"/>
        <v>0</v>
      </c>
      <c r="K24" s="20"/>
      <c r="L24" s="20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75" t="s">
        <v>210</v>
      </c>
      <c r="B25" s="467"/>
      <c r="C25" s="467"/>
      <c r="D25" s="17"/>
      <c r="E25" s="1"/>
      <c r="F25" s="1"/>
      <c r="G25" s="175" t="s">
        <v>211</v>
      </c>
      <c r="H25" s="1068">
        <v>990771</v>
      </c>
      <c r="I25" s="467">
        <v>1072797</v>
      </c>
      <c r="J25" s="19">
        <f t="shared" si="0"/>
        <v>-82026</v>
      </c>
      <c r="K25" s="20"/>
      <c r="L25" s="20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75" t="s">
        <v>212</v>
      </c>
      <c r="B26" s="467">
        <v>110900</v>
      </c>
      <c r="C26" s="467">
        <v>70000</v>
      </c>
      <c r="D26" s="17">
        <f>+B26-C26</f>
        <v>40900</v>
      </c>
      <c r="E26" s="1"/>
      <c r="F26" s="1"/>
      <c r="G26" s="175" t="s">
        <v>213</v>
      </c>
      <c r="H26" s="1068">
        <f>265222+7444</f>
        <v>272666</v>
      </c>
      <c r="I26" s="467">
        <v>320881</v>
      </c>
      <c r="J26" s="19">
        <f t="shared" si="0"/>
        <v>-48215</v>
      </c>
      <c r="K26" s="20"/>
      <c r="L26" s="20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470" t="s">
        <v>214</v>
      </c>
      <c r="B27" s="1072">
        <f>+B26</f>
        <v>110900</v>
      </c>
      <c r="C27" s="471">
        <f>+C26</f>
        <v>70000</v>
      </c>
      <c r="D27" s="22">
        <f t="shared" ref="D27:D35" si="1">+B27-C27</f>
        <v>40900</v>
      </c>
      <c r="E27" s="1"/>
      <c r="F27" s="1"/>
      <c r="G27" s="175" t="s">
        <v>215</v>
      </c>
      <c r="H27" s="1068">
        <v>270392</v>
      </c>
      <c r="I27" s="467">
        <v>178785</v>
      </c>
      <c r="J27" s="19">
        <f>+H27-I27</f>
        <v>91607</v>
      </c>
      <c r="K27" s="20"/>
      <c r="L27" s="20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75" t="s">
        <v>216</v>
      </c>
      <c r="B28" s="467">
        <f>49434+60000</f>
        <v>109434</v>
      </c>
      <c r="C28" s="467">
        <v>11494</v>
      </c>
      <c r="D28" s="17">
        <f t="shared" si="1"/>
        <v>97940</v>
      </c>
      <c r="E28" s="1"/>
      <c r="F28" s="1"/>
      <c r="G28" s="175" t="s">
        <v>217</v>
      </c>
      <c r="H28" s="1068">
        <v>7217</v>
      </c>
      <c r="I28" s="467">
        <v>0</v>
      </c>
      <c r="J28" s="19">
        <f>+H28-I28</f>
        <v>7217</v>
      </c>
      <c r="K28" s="20"/>
      <c r="L28" s="20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470" t="s">
        <v>214</v>
      </c>
      <c r="B29" s="471">
        <f>+B28</f>
        <v>109434</v>
      </c>
      <c r="C29" s="471">
        <f>+C28</f>
        <v>11494</v>
      </c>
      <c r="D29" s="22">
        <f t="shared" si="1"/>
        <v>97940</v>
      </c>
      <c r="E29" s="1"/>
      <c r="F29" s="1"/>
      <c r="G29" s="175" t="s">
        <v>218</v>
      </c>
      <c r="H29" s="467"/>
      <c r="I29" s="479"/>
      <c r="J29" s="17"/>
      <c r="K29" s="12"/>
      <c r="L29" s="12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75" t="s">
        <v>219</v>
      </c>
      <c r="B30" s="467">
        <v>61314</v>
      </c>
      <c r="C30" s="467">
        <v>39061</v>
      </c>
      <c r="D30" s="17">
        <f t="shared" si="1"/>
        <v>22253</v>
      </c>
      <c r="E30" s="1"/>
      <c r="F30" s="1"/>
      <c r="G30" s="175" t="s">
        <v>220</v>
      </c>
      <c r="H30" s="1068">
        <v>45106</v>
      </c>
      <c r="I30" s="467">
        <v>65841</v>
      </c>
      <c r="J30" s="19">
        <f t="shared" ref="J30:J38" si="2">+H30-I30</f>
        <v>-20735</v>
      </c>
      <c r="K30" s="20"/>
      <c r="L30" s="20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470" t="s">
        <v>214</v>
      </c>
      <c r="B31" s="471">
        <f>+B30</f>
        <v>61314</v>
      </c>
      <c r="C31" s="471">
        <f>+C30</f>
        <v>39061</v>
      </c>
      <c r="D31" s="22">
        <f t="shared" si="1"/>
        <v>22253</v>
      </c>
      <c r="E31" s="1"/>
      <c r="F31" s="1"/>
      <c r="G31" s="175" t="s">
        <v>221</v>
      </c>
      <c r="H31" s="1068">
        <f>489790</f>
        <v>489790</v>
      </c>
      <c r="I31" s="467">
        <v>530798</v>
      </c>
      <c r="J31" s="19">
        <f t="shared" si="2"/>
        <v>-41008</v>
      </c>
      <c r="K31" s="20"/>
      <c r="L31" s="20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75" t="s">
        <v>222</v>
      </c>
      <c r="B32" s="467">
        <v>4909</v>
      </c>
      <c r="C32" s="467">
        <v>12528</v>
      </c>
      <c r="D32" s="17">
        <f t="shared" si="1"/>
        <v>-7619</v>
      </c>
      <c r="E32" s="1"/>
      <c r="F32" s="1"/>
      <c r="G32" s="175" t="s">
        <v>223</v>
      </c>
      <c r="H32" s="467">
        <v>0</v>
      </c>
      <c r="I32" s="467">
        <v>0</v>
      </c>
      <c r="J32" s="19">
        <f t="shared" si="2"/>
        <v>0</v>
      </c>
      <c r="K32" s="20"/>
      <c r="L32" s="20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470" t="s">
        <v>214</v>
      </c>
      <c r="B33" s="471">
        <f>+B32</f>
        <v>4909</v>
      </c>
      <c r="C33" s="471">
        <f>+C32</f>
        <v>12528</v>
      </c>
      <c r="D33" s="22">
        <f t="shared" si="1"/>
        <v>-7619</v>
      </c>
      <c r="E33" s="1"/>
      <c r="F33" s="1"/>
      <c r="G33" s="175" t="s">
        <v>224</v>
      </c>
      <c r="H33" s="1068">
        <v>89087</v>
      </c>
      <c r="I33" s="467">
        <v>74068</v>
      </c>
      <c r="J33" s="19">
        <f t="shared" si="2"/>
        <v>15019</v>
      </c>
      <c r="K33" s="20"/>
      <c r="L33" s="20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75" t="s">
        <v>225</v>
      </c>
      <c r="B34" s="472">
        <f>277925+8714</f>
        <v>286639</v>
      </c>
      <c r="C34" s="472">
        <v>715576</v>
      </c>
      <c r="D34" s="17">
        <f t="shared" si="1"/>
        <v>-428937</v>
      </c>
      <c r="E34" s="1"/>
      <c r="F34" s="1"/>
      <c r="G34" s="175" t="s">
        <v>226</v>
      </c>
      <c r="H34" s="467">
        <v>0</v>
      </c>
      <c r="I34" s="467">
        <v>0</v>
      </c>
      <c r="J34" s="19">
        <f t="shared" si="2"/>
        <v>0</v>
      </c>
      <c r="K34" s="20"/>
      <c r="L34" s="20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470" t="s">
        <v>214</v>
      </c>
      <c r="B35" s="471">
        <f>+B34</f>
        <v>286639</v>
      </c>
      <c r="C35" s="471">
        <f>+C34</f>
        <v>715576</v>
      </c>
      <c r="D35" s="22">
        <f t="shared" si="1"/>
        <v>-428937</v>
      </c>
      <c r="E35" s="1"/>
      <c r="F35" s="1"/>
      <c r="G35" s="175" t="s">
        <v>227</v>
      </c>
      <c r="H35" s="1069">
        <v>2344</v>
      </c>
      <c r="I35" s="277">
        <v>1171</v>
      </c>
      <c r="J35" s="19">
        <f t="shared" si="2"/>
        <v>1173</v>
      </c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464" t="s">
        <v>228</v>
      </c>
      <c r="B36" s="468">
        <f>+B26+B28+B30+B32+B34</f>
        <v>573196</v>
      </c>
      <c r="C36" s="468">
        <f>C34+C32+C30+C28+C26</f>
        <v>848659</v>
      </c>
      <c r="D36" s="23">
        <f>B36-C36</f>
        <v>-275463</v>
      </c>
      <c r="E36" s="1"/>
      <c r="F36" s="1"/>
      <c r="G36" s="345" t="s">
        <v>803</v>
      </c>
      <c r="H36" s="1068">
        <v>8488</v>
      </c>
      <c r="I36" s="467">
        <v>5457</v>
      </c>
      <c r="J36" s="19">
        <f t="shared" si="2"/>
        <v>3031</v>
      </c>
      <c r="K36" s="20"/>
      <c r="L36" s="20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75"/>
      <c r="B37" s="467"/>
      <c r="C37" s="467"/>
      <c r="D37" s="17"/>
      <c r="E37" s="1"/>
      <c r="F37" s="1"/>
      <c r="G37" s="345" t="s">
        <v>229</v>
      </c>
      <c r="H37" s="1068">
        <v>4593</v>
      </c>
      <c r="I37" s="467">
        <v>984</v>
      </c>
      <c r="J37" s="19">
        <f t="shared" si="2"/>
        <v>3609</v>
      </c>
      <c r="K37" s="20"/>
      <c r="L37" s="20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75" t="s">
        <v>231</v>
      </c>
      <c r="B38" s="277"/>
      <c r="C38" s="277"/>
      <c r="E38" s="1"/>
      <c r="F38" s="1"/>
      <c r="G38" s="464" t="s">
        <v>230</v>
      </c>
      <c r="H38" s="478">
        <f>SUM(H19:H37)</f>
        <v>3841969</v>
      </c>
      <c r="I38" s="478">
        <f>SUM(I19:I37)</f>
        <v>4475761</v>
      </c>
      <c r="J38" s="19">
        <f t="shared" si="2"/>
        <v>-633792</v>
      </c>
      <c r="K38" s="20"/>
      <c r="L38" s="20"/>
      <c r="M38" s="17">
        <f>+H25+H26+H27+H33+H50-10200</f>
        <v>1710798</v>
      </c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75" t="s">
        <v>232</v>
      </c>
      <c r="B39" s="1068">
        <v>1711639</v>
      </c>
      <c r="C39" s="467">
        <v>826145</v>
      </c>
      <c r="D39" s="17">
        <f>+B39-C39</f>
        <v>885494</v>
      </c>
      <c r="E39" s="1"/>
      <c r="F39" s="1"/>
      <c r="G39" s="175"/>
      <c r="H39" s="467"/>
      <c r="I39" s="479"/>
      <c r="J39" s="19"/>
      <c r="K39" s="20"/>
      <c r="L39" s="20"/>
      <c r="M39" s="300">
        <v>1401469</v>
      </c>
      <c r="N39" s="5" t="s">
        <v>931</v>
      </c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75" t="s">
        <v>233</v>
      </c>
      <c r="B40" s="1069">
        <v>429</v>
      </c>
      <c r="C40" s="467">
        <v>467</v>
      </c>
      <c r="D40" s="17">
        <f>+B40-C40</f>
        <v>-38</v>
      </c>
      <c r="E40" s="1"/>
      <c r="F40" s="1"/>
      <c r="G40" s="464" t="s">
        <v>234</v>
      </c>
      <c r="H40" s="993">
        <f>+H15-H38</f>
        <v>76100</v>
      </c>
      <c r="I40" s="478">
        <f>I15-I38</f>
        <v>110756</v>
      </c>
      <c r="J40" s="19">
        <f>+H40-I40</f>
        <v>-34656</v>
      </c>
      <c r="K40" s="20"/>
      <c r="L40" s="20"/>
      <c r="M40" s="300">
        <v>347207</v>
      </c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464" t="s">
        <v>235</v>
      </c>
      <c r="B41" s="1071">
        <f>SUM(B39:B40)</f>
        <v>1712068</v>
      </c>
      <c r="C41" s="468">
        <f>SUM(C39:C40)</f>
        <v>826612</v>
      </c>
      <c r="D41" s="21">
        <f>B41-C41</f>
        <v>885456</v>
      </c>
      <c r="E41" s="1"/>
      <c r="F41" s="1"/>
      <c r="G41" s="175"/>
      <c r="H41" s="467"/>
      <c r="I41" s="479"/>
      <c r="J41" s="19"/>
      <c r="K41" s="20"/>
      <c r="L41" s="20"/>
      <c r="M41" s="168">
        <f>+M39+M40</f>
        <v>1748676</v>
      </c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75"/>
      <c r="B42" s="467"/>
      <c r="C42" s="467"/>
      <c r="D42" s="17"/>
      <c r="E42" s="1"/>
      <c r="F42" s="1"/>
      <c r="G42" s="464" t="s">
        <v>236</v>
      </c>
      <c r="H42" s="468"/>
      <c r="I42" s="479"/>
      <c r="J42" s="19"/>
      <c r="K42" s="20"/>
      <c r="L42" s="20"/>
      <c r="M42" s="168">
        <f>+M38-M41</f>
        <v>-37878</v>
      </c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464" t="s">
        <v>237</v>
      </c>
      <c r="B43" s="468">
        <f>+B36+B41</f>
        <v>2285264</v>
      </c>
      <c r="C43" s="468">
        <f>C41+C36</f>
        <v>1675271</v>
      </c>
      <c r="D43" s="21">
        <f>B43-C43</f>
        <v>609993</v>
      </c>
      <c r="E43" s="1"/>
      <c r="F43" s="1"/>
      <c r="G43" s="175" t="s">
        <v>238</v>
      </c>
      <c r="H43" s="467"/>
      <c r="I43" s="479"/>
      <c r="J43" s="19"/>
      <c r="K43" s="20"/>
      <c r="L43" s="20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75"/>
      <c r="B44" s="467"/>
      <c r="C44" s="467"/>
      <c r="D44" s="17"/>
      <c r="E44" s="1"/>
      <c r="F44" s="1"/>
      <c r="G44" s="175" t="s">
        <v>239</v>
      </c>
      <c r="H44" s="1070">
        <v>28967</v>
      </c>
      <c r="I44" s="472">
        <v>1874</v>
      </c>
      <c r="J44" s="19">
        <f>+H44-I44</f>
        <v>27093</v>
      </c>
      <c r="K44" s="20"/>
      <c r="L44" s="20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464" t="s">
        <v>240</v>
      </c>
      <c r="B45" s="468"/>
      <c r="C45" s="467"/>
      <c r="D45" s="17"/>
      <c r="E45" s="1"/>
      <c r="F45" s="1"/>
      <c r="G45" s="175" t="s">
        <v>241</v>
      </c>
      <c r="H45" s="467">
        <v>209</v>
      </c>
      <c r="I45" s="467">
        <v>126</v>
      </c>
      <c r="J45" s="19">
        <f>+H45-I45</f>
        <v>83</v>
      </c>
      <c r="K45" s="20"/>
      <c r="L45" s="20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464" t="s">
        <v>242</v>
      </c>
      <c r="B46" s="1071">
        <v>52845</v>
      </c>
      <c r="C46" s="468">
        <v>32450</v>
      </c>
      <c r="D46" s="21">
        <f>B46-C46</f>
        <v>20395</v>
      </c>
      <c r="E46" s="1"/>
      <c r="F46" s="1"/>
      <c r="G46" s="464" t="s">
        <v>243</v>
      </c>
      <c r="H46" s="468">
        <f>+H44-H45</f>
        <v>28758</v>
      </c>
      <c r="I46" s="468">
        <f>+I44-I45</f>
        <v>1748</v>
      </c>
      <c r="J46" s="19">
        <f>+H46-I46</f>
        <v>27010</v>
      </c>
      <c r="K46" s="20"/>
      <c r="L46" s="20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75"/>
      <c r="B47" s="467"/>
      <c r="C47" s="467"/>
      <c r="D47" s="17"/>
      <c r="E47" s="1"/>
      <c r="F47" s="1"/>
      <c r="G47" s="175"/>
      <c r="H47" s="467"/>
      <c r="I47" s="479"/>
      <c r="J47" s="19">
        <f t="shared" ref="J47:J52" si="3">+H47-I47</f>
        <v>0</v>
      </c>
      <c r="K47" s="20"/>
      <c r="L47" s="20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473" t="s">
        <v>244</v>
      </c>
      <c r="B48" s="474">
        <f>+B20+B43+B46</f>
        <v>3320154</v>
      </c>
      <c r="C48" s="474">
        <f>C46+C43+C20</f>
        <v>2810798</v>
      </c>
      <c r="D48" s="21">
        <f>B48-C48</f>
        <v>509356</v>
      </c>
      <c r="E48" s="1"/>
      <c r="F48" s="1"/>
      <c r="G48" s="175"/>
      <c r="H48" s="467"/>
      <c r="I48" s="479"/>
      <c r="J48" s="19">
        <f t="shared" si="3"/>
        <v>0</v>
      </c>
      <c r="K48" s="20"/>
      <c r="L48" s="20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7"/>
      <c r="C49" s="17"/>
      <c r="D49" s="17"/>
      <c r="E49" s="1"/>
      <c r="F49" s="1"/>
      <c r="G49" s="464" t="s">
        <v>245</v>
      </c>
      <c r="H49" s="468">
        <f>+H40+H46</f>
        <v>104858</v>
      </c>
      <c r="I49" s="468">
        <f>+I40+I46</f>
        <v>112504</v>
      </c>
      <c r="J49" s="19">
        <f t="shared" si="3"/>
        <v>-7646</v>
      </c>
      <c r="K49" s="20"/>
      <c r="L49" s="20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7"/>
      <c r="C50" s="17"/>
      <c r="D50" s="17"/>
      <c r="E50" s="1"/>
      <c r="F50" s="1"/>
      <c r="G50" s="175" t="s">
        <v>246</v>
      </c>
      <c r="H50" s="1068">
        <v>98082</v>
      </c>
      <c r="I50" s="467">
        <v>112344</v>
      </c>
      <c r="J50" s="19">
        <f t="shared" si="3"/>
        <v>-14262</v>
      </c>
      <c r="K50" s="20"/>
      <c r="L50" s="20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464" t="s">
        <v>247</v>
      </c>
      <c r="B51" s="465">
        <v>45291</v>
      </c>
      <c r="C51" s="465">
        <v>44926</v>
      </c>
      <c r="D51" s="17"/>
      <c r="E51" s="1"/>
      <c r="F51" s="1"/>
      <c r="G51" s="175"/>
      <c r="H51" s="467"/>
      <c r="I51" s="479"/>
      <c r="J51" s="19">
        <f t="shared" si="3"/>
        <v>0</v>
      </c>
      <c r="K51" s="13"/>
      <c r="L51" s="13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464" t="s">
        <v>248</v>
      </c>
      <c r="B52" s="468"/>
      <c r="C52" s="467"/>
      <c r="D52" s="17"/>
      <c r="E52" s="1"/>
      <c r="F52" s="1"/>
      <c r="G52" s="995" t="s">
        <v>249</v>
      </c>
      <c r="H52" s="993">
        <f>+H49-H50</f>
        <v>6776</v>
      </c>
      <c r="I52" s="468">
        <f>+I49-I50</f>
        <v>160</v>
      </c>
      <c r="J52" s="19">
        <f t="shared" si="3"/>
        <v>6616</v>
      </c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75" t="s">
        <v>250</v>
      </c>
      <c r="B53" s="467">
        <v>166600</v>
      </c>
      <c r="C53" s="467">
        <v>166600</v>
      </c>
      <c r="D53" s="17">
        <f>B53-C53</f>
        <v>0</v>
      </c>
      <c r="E53" s="1"/>
      <c r="F53" s="1"/>
      <c r="G53" s="1"/>
      <c r="H53" s="18"/>
      <c r="I53" s="12"/>
      <c r="J53" s="13"/>
      <c r="K53" s="27"/>
      <c r="L53" s="27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75" t="s">
        <v>251</v>
      </c>
      <c r="B54" s="467"/>
      <c r="C54" s="467"/>
      <c r="D54" s="17"/>
      <c r="E54" s="1"/>
      <c r="F54" s="1"/>
      <c r="G54" s="1"/>
      <c r="H54" s="18"/>
      <c r="I54" s="12"/>
      <c r="J54" s="13"/>
      <c r="K54" s="13"/>
      <c r="L54" s="13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75" t="s">
        <v>252</v>
      </c>
      <c r="B55" s="467">
        <v>142976</v>
      </c>
      <c r="C55" s="467">
        <v>142816</v>
      </c>
      <c r="D55" s="17">
        <f>B55-C55</f>
        <v>160</v>
      </c>
      <c r="E55" s="1"/>
      <c r="F55" s="1"/>
      <c r="G55" s="1"/>
      <c r="H55" s="18"/>
      <c r="I55" s="12"/>
      <c r="J55" s="27"/>
      <c r="K55" s="13"/>
      <c r="L55" s="13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75" t="s">
        <v>253</v>
      </c>
      <c r="B56" s="467">
        <v>601713</v>
      </c>
      <c r="C56" s="467">
        <v>601713</v>
      </c>
      <c r="D56" s="17">
        <f>B56-C56</f>
        <v>0</v>
      </c>
      <c r="E56" s="1"/>
      <c r="F56" s="1"/>
      <c r="G56" s="5"/>
      <c r="H56" s="18"/>
      <c r="I56" s="28"/>
      <c r="J56" s="13"/>
      <c r="K56" s="13"/>
      <c r="L56" s="13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75" t="s">
        <v>254</v>
      </c>
      <c r="B57" s="994">
        <f>+H52</f>
        <v>6776</v>
      </c>
      <c r="C57" s="467">
        <v>160</v>
      </c>
      <c r="D57" s="17">
        <f>B57-C57</f>
        <v>6616</v>
      </c>
      <c r="E57" s="1"/>
      <c r="F57" s="1"/>
      <c r="H57" s="24"/>
      <c r="I57" s="12"/>
      <c r="J57" s="13"/>
      <c r="K57" s="13"/>
      <c r="L57" s="13"/>
      <c r="M57" s="20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464" t="s">
        <v>255</v>
      </c>
      <c r="B58" s="993">
        <f>SUM(B53:B57)</f>
        <v>918065</v>
      </c>
      <c r="C58" s="468">
        <f>SUM(C53:C57)</f>
        <v>911289</v>
      </c>
      <c r="D58" s="21">
        <f>B58-C58</f>
        <v>6776</v>
      </c>
      <c r="E58" s="1"/>
      <c r="F58" s="30"/>
      <c r="H58" s="272"/>
      <c r="I58" s="12"/>
      <c r="J58" s="13"/>
      <c r="K58" s="13"/>
      <c r="L58" s="13"/>
      <c r="M58" s="26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75"/>
      <c r="B59" s="467"/>
      <c r="C59" s="467"/>
      <c r="D59" s="17"/>
      <c r="E59" s="1"/>
      <c r="F59" s="1"/>
      <c r="H59" s="272"/>
      <c r="I59" s="12"/>
      <c r="J59" s="13"/>
      <c r="K59" s="13"/>
      <c r="L59" s="13"/>
      <c r="M59" s="20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464" t="s">
        <v>256</v>
      </c>
      <c r="B60" s="468"/>
      <c r="C60" s="468"/>
      <c r="D60" s="17"/>
      <c r="E60" s="1"/>
      <c r="F60" s="1" t="s">
        <v>257</v>
      </c>
      <c r="H60" s="272"/>
      <c r="I60" s="12"/>
      <c r="J60" s="13"/>
      <c r="K60" s="13"/>
      <c r="L60" s="13"/>
      <c r="M60" s="20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345" t="s">
        <v>258</v>
      </c>
      <c r="B61" s="475">
        <v>47357</v>
      </c>
      <c r="C61" s="475">
        <v>80014</v>
      </c>
      <c r="D61" s="328">
        <f>B61-C61</f>
        <v>-32657</v>
      </c>
      <c r="E61" s="1">
        <v>2023</v>
      </c>
      <c r="F61" s="31">
        <f>+B57/B58</f>
        <v>7.3807410150697394E-3</v>
      </c>
      <c r="H61" s="272"/>
      <c r="I61" s="12"/>
      <c r="J61" s="13"/>
      <c r="K61" s="13"/>
      <c r="L61" s="13"/>
      <c r="M61" s="20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345" t="s">
        <v>259</v>
      </c>
      <c r="B62" s="476">
        <v>8678</v>
      </c>
      <c r="C62" s="476">
        <v>5647</v>
      </c>
      <c r="D62" s="328">
        <f>B62-C62</f>
        <v>3031</v>
      </c>
      <c r="E62" s="1">
        <v>2022</v>
      </c>
      <c r="F62" s="31">
        <f>+C57/C58</f>
        <v>1.7557547605644313E-4</v>
      </c>
      <c r="H62" s="273"/>
      <c r="I62" s="35"/>
      <c r="J62" s="36"/>
      <c r="K62" s="36"/>
      <c r="L62" s="36"/>
      <c r="M62" s="20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75" t="s">
        <v>260</v>
      </c>
      <c r="B63" s="479">
        <f>120270+9153</f>
        <v>129423</v>
      </c>
      <c r="C63" s="467">
        <v>108412</v>
      </c>
      <c r="D63" s="328">
        <f>B63-C63</f>
        <v>21011</v>
      </c>
      <c r="E63" s="1"/>
      <c r="F63" s="1" t="s">
        <v>261</v>
      </c>
      <c r="H63" s="272"/>
      <c r="I63" s="37"/>
      <c r="J63" s="29"/>
      <c r="K63" s="29"/>
      <c r="L63" s="29"/>
      <c r="M63" s="26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464" t="s">
        <v>262</v>
      </c>
      <c r="B64" s="468">
        <f>SUM(B61:B63)</f>
        <v>185458</v>
      </c>
      <c r="C64" s="468">
        <f>SUM(C61:C63)</f>
        <v>194073</v>
      </c>
      <c r="D64" s="32">
        <f>B64-C64</f>
        <v>-8615</v>
      </c>
      <c r="E64" s="1">
        <v>2023</v>
      </c>
      <c r="F64" s="30">
        <f>+H40/B48</f>
        <v>2.292062356143721E-2</v>
      </c>
      <c r="H64" s="272"/>
      <c r="I64" s="38"/>
      <c r="J64" s="29"/>
      <c r="K64" s="29"/>
      <c r="L64" s="29"/>
      <c r="M64" s="34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277"/>
      <c r="B65" s="277"/>
      <c r="C65" s="277"/>
      <c r="E65" s="1">
        <v>2022</v>
      </c>
      <c r="F65" s="30">
        <f>+I40/C48</f>
        <v>3.9403756513274879E-2</v>
      </c>
      <c r="G65" s="1"/>
      <c r="H65" s="274"/>
      <c r="I65" s="35"/>
      <c r="J65" s="29"/>
      <c r="K65" s="29"/>
      <c r="L65" s="29"/>
      <c r="M65" s="26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464" t="s">
        <v>263</v>
      </c>
      <c r="B66" s="468"/>
      <c r="C66" s="468"/>
      <c r="D66" s="17"/>
      <c r="E66" s="1"/>
      <c r="F66" s="1"/>
      <c r="G66" s="1"/>
      <c r="H66" s="272"/>
      <c r="I66" s="37"/>
      <c r="J66" s="29"/>
      <c r="K66" s="29"/>
      <c r="L66" s="29"/>
      <c r="M66" s="20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75" t="s">
        <v>264</v>
      </c>
      <c r="B67" s="467">
        <v>601632</v>
      </c>
      <c r="C67" s="467">
        <v>447917</v>
      </c>
      <c r="D67" s="17">
        <f>+B67-C67</f>
        <v>153715</v>
      </c>
      <c r="E67" s="1"/>
      <c r="F67" s="1"/>
      <c r="G67" s="1"/>
      <c r="H67" s="271"/>
      <c r="I67" s="37"/>
      <c r="J67" s="29"/>
      <c r="K67" s="29"/>
      <c r="L67" s="29"/>
      <c r="M67" s="20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470" t="s">
        <v>214</v>
      </c>
      <c r="B68" s="471">
        <f>+B67</f>
        <v>601632</v>
      </c>
      <c r="C68" s="471">
        <f>+C67</f>
        <v>447917</v>
      </c>
      <c r="D68" s="17">
        <f t="shared" ref="D68:D76" si="4">+B68-C68</f>
        <v>153715</v>
      </c>
      <c r="E68" s="1"/>
      <c r="F68" s="1"/>
      <c r="G68" s="1"/>
      <c r="H68" s="272"/>
      <c r="I68" s="37"/>
      <c r="J68" s="29"/>
      <c r="K68" s="29"/>
      <c r="L68" s="29"/>
      <c r="M68" s="20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75" t="s">
        <v>265</v>
      </c>
      <c r="B69" s="467">
        <f>130629+38</f>
        <v>130667</v>
      </c>
      <c r="C69" s="467">
        <v>213189</v>
      </c>
      <c r="D69" s="17">
        <f>+B69-C69</f>
        <v>-82522</v>
      </c>
      <c r="E69" s="18"/>
      <c r="F69" s="18"/>
      <c r="G69" s="1"/>
      <c r="H69" s="272"/>
      <c r="I69" s="35"/>
      <c r="J69" s="29"/>
      <c r="K69" s="29"/>
      <c r="L69" s="29"/>
      <c r="M69" s="26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470" t="s">
        <v>214</v>
      </c>
      <c r="B70" s="471">
        <f>+B69</f>
        <v>130667</v>
      </c>
      <c r="C70" s="471">
        <f>+C69</f>
        <v>213189</v>
      </c>
      <c r="D70" s="17">
        <f t="shared" si="4"/>
        <v>-82522</v>
      </c>
      <c r="E70" s="1"/>
      <c r="F70" s="1"/>
      <c r="G70" s="1"/>
      <c r="H70" s="272"/>
      <c r="I70" s="37"/>
      <c r="J70" s="29"/>
      <c r="K70" s="29"/>
      <c r="L70" s="29"/>
      <c r="M70" s="20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75" t="s">
        <v>266</v>
      </c>
      <c r="B71" s="467">
        <v>64396</v>
      </c>
      <c r="C71" s="467">
        <v>68301</v>
      </c>
      <c r="D71" s="17">
        <f t="shared" si="4"/>
        <v>-3905</v>
      </c>
      <c r="E71" s="1"/>
      <c r="F71" s="1"/>
      <c r="G71" s="1"/>
      <c r="H71" s="271"/>
      <c r="I71" s="28"/>
      <c r="J71" s="29"/>
      <c r="K71" s="29"/>
      <c r="L71" s="29"/>
      <c r="M71" s="20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470" t="s">
        <v>214</v>
      </c>
      <c r="B72" s="471">
        <f>+B71</f>
        <v>64396</v>
      </c>
      <c r="C72" s="471">
        <f>+C71</f>
        <v>68301</v>
      </c>
      <c r="D72" s="17">
        <f t="shared" si="4"/>
        <v>-3905</v>
      </c>
      <c r="E72" s="1"/>
      <c r="F72" s="1"/>
      <c r="G72" s="1"/>
      <c r="H72" s="272"/>
      <c r="I72" s="35"/>
      <c r="J72" s="33"/>
      <c r="K72" s="33"/>
      <c r="L72" s="33"/>
      <c r="M72" s="20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75" t="s">
        <v>267</v>
      </c>
      <c r="B73" s="467">
        <v>69032</v>
      </c>
      <c r="C73" s="467">
        <v>59241</v>
      </c>
      <c r="D73" s="17">
        <f t="shared" si="4"/>
        <v>9791</v>
      </c>
      <c r="E73" s="1"/>
      <c r="F73" s="1"/>
      <c r="G73" s="1"/>
      <c r="H73" s="272"/>
      <c r="I73" s="35"/>
      <c r="J73" s="40"/>
      <c r="K73" s="40"/>
      <c r="L73" s="40"/>
      <c r="M73" s="20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470" t="s">
        <v>214</v>
      </c>
      <c r="B74" s="471">
        <f>+B73</f>
        <v>69032</v>
      </c>
      <c r="C74" s="471">
        <v>59241</v>
      </c>
      <c r="D74" s="17">
        <f t="shared" si="4"/>
        <v>9791</v>
      </c>
      <c r="E74" s="1"/>
      <c r="F74" s="1"/>
      <c r="G74" s="1"/>
      <c r="H74" s="272"/>
      <c r="I74" s="35"/>
      <c r="J74" s="40"/>
      <c r="K74" s="40"/>
      <c r="L74" s="40"/>
      <c r="M74" s="26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75" t="s">
        <v>268</v>
      </c>
      <c r="B75" s="467">
        <v>2204</v>
      </c>
      <c r="C75" s="467">
        <v>637</v>
      </c>
      <c r="D75" s="17">
        <f t="shared" si="4"/>
        <v>1567</v>
      </c>
      <c r="E75" s="5"/>
      <c r="F75" s="5"/>
      <c r="G75" s="1"/>
      <c r="H75" s="272"/>
      <c r="I75" s="28"/>
      <c r="J75" s="36"/>
      <c r="K75" s="36"/>
      <c r="L75" s="36"/>
      <c r="M75" s="20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470" t="s">
        <v>214</v>
      </c>
      <c r="B76" s="471">
        <f>+B75</f>
        <v>2204</v>
      </c>
      <c r="C76" s="471">
        <f>+C75</f>
        <v>637</v>
      </c>
      <c r="D76" s="17">
        <f t="shared" si="4"/>
        <v>1567</v>
      </c>
      <c r="E76" s="1"/>
      <c r="G76" s="1"/>
      <c r="H76" s="271"/>
      <c r="I76" s="38"/>
      <c r="J76" s="41"/>
      <c r="K76" s="41"/>
      <c r="L76" s="41"/>
      <c r="M76" s="20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464" t="s">
        <v>269</v>
      </c>
      <c r="B77" s="468">
        <f>+B67+B69+B71+B73+B75</f>
        <v>867931</v>
      </c>
      <c r="C77" s="468">
        <f>+C67+C69+C71+C73+C75</f>
        <v>789285</v>
      </c>
      <c r="D77" s="21">
        <f>B77-C77</f>
        <v>78646</v>
      </c>
      <c r="E77" s="1"/>
      <c r="F77" s="1"/>
      <c r="G77" s="12"/>
      <c r="H77" s="272"/>
      <c r="I77" s="35"/>
      <c r="J77" s="36"/>
      <c r="K77" s="36"/>
      <c r="L77" s="36"/>
      <c r="M77" s="26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75"/>
      <c r="B78" s="467"/>
      <c r="C78" s="467"/>
      <c r="D78" s="17"/>
      <c r="E78" s="1"/>
      <c r="F78" s="1"/>
      <c r="G78" s="12"/>
      <c r="H78" s="272"/>
      <c r="I78" s="35"/>
      <c r="J78" s="40"/>
      <c r="K78" s="40"/>
      <c r="L78" s="40"/>
      <c r="M78" s="26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464" t="s">
        <v>270</v>
      </c>
      <c r="B79" s="468"/>
      <c r="C79" s="468"/>
      <c r="D79" s="17"/>
      <c r="E79" s="1"/>
      <c r="F79" s="1"/>
      <c r="G79" s="12"/>
      <c r="H79" s="271"/>
      <c r="I79" s="12"/>
      <c r="J79" s="13"/>
      <c r="K79" s="13"/>
      <c r="L79" s="13"/>
      <c r="M79" s="26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464" t="s">
        <v>271</v>
      </c>
      <c r="B80" s="993">
        <v>1348700</v>
      </c>
      <c r="C80" s="468">
        <v>916151</v>
      </c>
      <c r="D80" s="23">
        <f>B80-C80</f>
        <v>432549</v>
      </c>
      <c r="E80" s="1"/>
      <c r="F80" s="1"/>
      <c r="G80" s="1"/>
      <c r="H80" s="271"/>
      <c r="I80" s="12"/>
      <c r="J80" s="13"/>
      <c r="K80" s="13"/>
      <c r="L80" s="13"/>
      <c r="M80" s="26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75"/>
      <c r="B81" s="467"/>
      <c r="C81" s="467"/>
      <c r="D81" s="17"/>
      <c r="E81" s="1"/>
      <c r="F81" s="1"/>
      <c r="G81" s="1"/>
      <c r="H81" s="271"/>
      <c r="I81" s="12"/>
      <c r="J81" s="13"/>
      <c r="K81" s="13"/>
      <c r="L81" s="13"/>
      <c r="M81" s="34"/>
      <c r="N81" s="1"/>
      <c r="O81" s="1"/>
      <c r="P81" s="1"/>
      <c r="Q81" s="1"/>
      <c r="R81" s="1"/>
      <c r="S81" s="1"/>
      <c r="T81" s="1"/>
      <c r="U81" s="1"/>
    </row>
    <row r="82" spans="1:21" ht="17" customHeight="1" x14ac:dyDescent="0.2">
      <c r="A82" s="473" t="s">
        <v>272</v>
      </c>
      <c r="B82" s="474">
        <f>+B58+B64+B77+B80</f>
        <v>3320154</v>
      </c>
      <c r="C82" s="474">
        <f>+C58+C64+C77+C80</f>
        <v>2810798</v>
      </c>
      <c r="D82" s="17">
        <f>B82-C82</f>
        <v>509356</v>
      </c>
      <c r="E82" s="1"/>
      <c r="F82" s="1"/>
      <c r="G82" s="1"/>
      <c r="H82" s="272"/>
      <c r="I82" s="12"/>
      <c r="J82" s="13"/>
      <c r="K82" s="13"/>
      <c r="L82" s="13"/>
      <c r="M82" s="34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2"/>
      <c r="C83" s="12"/>
      <c r="D83" s="1"/>
      <c r="E83" s="1"/>
      <c r="F83" s="1"/>
      <c r="G83" s="1"/>
      <c r="H83" s="274"/>
      <c r="I83" s="12"/>
      <c r="J83" s="13"/>
      <c r="K83" s="13"/>
      <c r="L83" s="13"/>
      <c r="M83" s="26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 t="s">
        <v>132</v>
      </c>
      <c r="B84" s="12">
        <f>+B48-B82</f>
        <v>0</v>
      </c>
      <c r="C84" s="16">
        <f>+C48-C82</f>
        <v>0</v>
      </c>
      <c r="D84" s="1"/>
      <c r="E84" s="1"/>
      <c r="F84" s="1"/>
      <c r="G84" s="1"/>
      <c r="H84" s="274"/>
      <c r="I84" s="12"/>
      <c r="J84" s="13"/>
      <c r="K84" s="13"/>
      <c r="L84" s="13"/>
      <c r="M84" s="26"/>
      <c r="N84" s="1"/>
      <c r="O84" s="1"/>
      <c r="P84" s="1"/>
      <c r="Q84" s="1"/>
      <c r="R84" s="1"/>
      <c r="S84" s="1"/>
      <c r="T84" s="1"/>
      <c r="U84" s="1"/>
    </row>
    <row r="85" spans="1:21" ht="12.75" customHeight="1" thickBot="1" x14ac:dyDescent="0.25">
      <c r="A85" s="1"/>
      <c r="B85" s="12"/>
      <c r="C85" s="12"/>
      <c r="D85" s="13"/>
      <c r="E85" s="1"/>
      <c r="F85" s="1"/>
      <c r="G85" s="1"/>
      <c r="H85" s="693">
        <v>128904</v>
      </c>
      <c r="I85" s="693">
        <v>83575</v>
      </c>
      <c r="J85" s="693">
        <f>+H85-I85</f>
        <v>45329</v>
      </c>
      <c r="K85" s="13"/>
      <c r="L85" s="13"/>
      <c r="M85" s="26"/>
      <c r="N85" s="1"/>
      <c r="O85" s="1"/>
      <c r="P85" s="1"/>
      <c r="Q85" s="1"/>
      <c r="R85" s="1"/>
      <c r="S85" s="1"/>
      <c r="T85" s="1"/>
      <c r="U85" s="1"/>
    </row>
    <row r="86" spans="1:21" ht="12.75" customHeight="1" thickBot="1" x14ac:dyDescent="0.25">
      <c r="A86" s="1"/>
      <c r="B86" s="606"/>
      <c r="C86" s="275"/>
      <c r="D86" s="1"/>
      <c r="E86" s="1"/>
      <c r="F86" s="1"/>
      <c r="G86" s="1"/>
      <c r="H86" s="693">
        <v>2054989</v>
      </c>
      <c r="I86" s="693">
        <v>2304322</v>
      </c>
      <c r="J86" s="693">
        <f>+H86-I86</f>
        <v>-249333</v>
      </c>
      <c r="K86" s="13"/>
      <c r="L86" s="13"/>
      <c r="M86" s="26"/>
      <c r="N86" s="1"/>
      <c r="O86" s="1"/>
      <c r="P86" s="1"/>
      <c r="Q86" s="1"/>
      <c r="R86" s="1"/>
      <c r="S86" s="1"/>
      <c r="T86" s="1"/>
      <c r="U86" s="1"/>
    </row>
    <row r="87" spans="1:21" ht="12.75" customHeight="1" thickBot="1" x14ac:dyDescent="0.25">
      <c r="A87" s="1"/>
      <c r="B87" s="39"/>
      <c r="C87" s="42"/>
      <c r="D87" s="1"/>
      <c r="E87" s="1"/>
      <c r="F87" s="1"/>
      <c r="G87" s="1"/>
      <c r="H87" s="693">
        <v>1174510</v>
      </c>
      <c r="I87" s="693">
        <v>1605471</v>
      </c>
      <c r="J87" s="693">
        <f t="shared" ref="J87:J90" si="5">+H87-I87</f>
        <v>-430961</v>
      </c>
      <c r="K87" s="13"/>
      <c r="L87" s="13"/>
      <c r="M87" s="43"/>
      <c r="N87" s="1"/>
      <c r="O87" s="1"/>
      <c r="P87" s="1"/>
      <c r="Q87" s="1"/>
      <c r="R87" s="1"/>
      <c r="S87" s="1"/>
      <c r="T87" s="1"/>
      <c r="U87" s="1"/>
    </row>
    <row r="88" spans="1:21" ht="12.75" customHeight="1" thickBot="1" x14ac:dyDescent="0.25">
      <c r="A88" s="1"/>
      <c r="B88" s="1"/>
      <c r="C88" s="1"/>
      <c r="D88" s="1"/>
      <c r="E88" s="1"/>
      <c r="F88" s="1"/>
      <c r="G88" s="1"/>
      <c r="H88" s="693">
        <v>436071</v>
      </c>
      <c r="I88" s="693">
        <v>507703</v>
      </c>
      <c r="J88" s="693">
        <f t="shared" si="5"/>
        <v>-71632</v>
      </c>
      <c r="K88" s="13"/>
      <c r="L88" s="13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thickBot="1" x14ac:dyDescent="0.25">
      <c r="A89" s="1"/>
      <c r="B89" s="1"/>
      <c r="C89" s="1"/>
      <c r="D89" s="1"/>
      <c r="E89" s="1"/>
      <c r="F89" s="1"/>
      <c r="G89" s="1"/>
      <c r="H89" s="693">
        <v>989</v>
      </c>
      <c r="I89" s="693">
        <v>5368</v>
      </c>
      <c r="J89" s="693">
        <f t="shared" si="5"/>
        <v>-4379</v>
      </c>
      <c r="K89" s="13"/>
      <c r="L89" s="13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thickBot="1" x14ac:dyDescent="0.25">
      <c r="A90" s="1"/>
      <c r="B90" s="1"/>
      <c r="C90" s="1"/>
      <c r="D90" s="1"/>
      <c r="E90" s="1"/>
      <c r="F90" s="1"/>
      <c r="G90" s="1"/>
      <c r="H90" s="693">
        <v>122533</v>
      </c>
      <c r="I90" s="693">
        <v>80078</v>
      </c>
      <c r="J90" s="693">
        <f t="shared" si="5"/>
        <v>42455</v>
      </c>
      <c r="K90" s="13"/>
      <c r="L90" s="13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thickBot="1" x14ac:dyDescent="0.25">
      <c r="A91" s="1"/>
      <c r="B91" s="1"/>
      <c r="C91" s="1"/>
      <c r="D91" s="1"/>
      <c r="E91" s="1"/>
      <c r="F91" s="1"/>
      <c r="G91" s="1"/>
      <c r="H91" s="694">
        <f>SUM(H85:H90)</f>
        <v>3917996</v>
      </c>
      <c r="I91" s="694">
        <f t="shared" ref="I91:J91" si="6">SUM(I85:I90)</f>
        <v>4586517</v>
      </c>
      <c r="J91" s="694">
        <f t="shared" si="6"/>
        <v>-668521</v>
      </c>
      <c r="K91" s="13"/>
      <c r="L91" s="13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2"/>
      <c r="J92" s="13"/>
      <c r="K92" s="13"/>
      <c r="L92" s="13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2"/>
      <c r="J93" s="13"/>
      <c r="K93" s="13"/>
      <c r="L93" s="13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thickBot="1" x14ac:dyDescent="0.25">
      <c r="A94" s="1"/>
      <c r="B94" s="1"/>
      <c r="C94" s="1"/>
      <c r="D94" s="1"/>
      <c r="E94" s="1"/>
      <c r="F94" s="1"/>
      <c r="G94" s="1"/>
      <c r="H94" s="706" t="s">
        <v>299</v>
      </c>
      <c r="I94" s="693">
        <v>128904</v>
      </c>
      <c r="J94" s="693">
        <v>83575</v>
      </c>
      <c r="K94" s="693">
        <f>+I94-J94</f>
        <v>45329</v>
      </c>
      <c r="L94" s="13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thickBot="1" x14ac:dyDescent="0.25">
      <c r="A95" s="1"/>
      <c r="B95" s="1"/>
      <c r="C95" s="1"/>
      <c r="D95" s="1"/>
      <c r="E95" s="1"/>
      <c r="F95" s="1"/>
      <c r="G95" s="1"/>
      <c r="H95" s="706" t="s">
        <v>300</v>
      </c>
      <c r="I95" s="693">
        <v>2054989</v>
      </c>
      <c r="J95" s="693">
        <v>2304322</v>
      </c>
      <c r="K95" s="693">
        <f t="shared" ref="K95:K96" si="7">+I95-J95</f>
        <v>-249333</v>
      </c>
      <c r="L95" s="13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thickBot="1" x14ac:dyDescent="0.25">
      <c r="A96" s="1"/>
      <c r="B96" s="1"/>
      <c r="C96" s="1"/>
      <c r="D96" s="1"/>
      <c r="E96" s="1"/>
      <c r="F96" s="1"/>
      <c r="G96" s="1"/>
      <c r="H96" s="706" t="s">
        <v>301</v>
      </c>
      <c r="I96" s="693">
        <v>1175168</v>
      </c>
      <c r="J96" s="693">
        <v>1605471</v>
      </c>
      <c r="K96" s="693">
        <f t="shared" si="7"/>
        <v>-430303</v>
      </c>
      <c r="L96" s="13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2"/>
      <c r="J97" s="13"/>
      <c r="K97" s="13"/>
      <c r="L97" s="13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2"/>
      <c r="J98" s="13"/>
      <c r="K98" s="13"/>
      <c r="L98" s="13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2"/>
      <c r="J99" s="13"/>
      <c r="K99" s="13"/>
      <c r="L99" s="13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2"/>
      <c r="J100" s="13"/>
      <c r="K100" s="13"/>
      <c r="L100" s="13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thickBot="1" x14ac:dyDescent="0.25">
      <c r="A101" s="1"/>
      <c r="B101" s="1"/>
      <c r="C101" s="1"/>
      <c r="D101" s="693">
        <v>128904</v>
      </c>
      <c r="E101" s="1"/>
      <c r="F101" s="1"/>
      <c r="G101" s="1"/>
      <c r="H101" s="1"/>
      <c r="I101" s="12"/>
      <c r="J101" s="13"/>
      <c r="K101" s="13"/>
      <c r="L101" s="13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thickBot="1" x14ac:dyDescent="0.25">
      <c r="A102" s="1"/>
      <c r="B102" s="1"/>
      <c r="C102" s="1"/>
      <c r="D102" s="693">
        <v>2054989</v>
      </c>
      <c r="E102" s="1"/>
      <c r="F102" s="1"/>
      <c r="G102" s="1"/>
      <c r="H102" s="1"/>
      <c r="I102" s="12"/>
      <c r="J102" s="13"/>
      <c r="K102" s="13"/>
      <c r="L102" s="13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thickBot="1" x14ac:dyDescent="0.25">
      <c r="A103" s="1"/>
      <c r="B103" s="1"/>
      <c r="C103" s="1"/>
      <c r="D103" s="693">
        <v>1175168</v>
      </c>
      <c r="E103" s="1"/>
      <c r="F103" s="1"/>
      <c r="G103" s="1"/>
      <c r="H103" s="1"/>
      <c r="I103" s="12"/>
      <c r="J103" s="13"/>
      <c r="K103" s="13"/>
      <c r="L103" s="13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thickBot="1" x14ac:dyDescent="0.25">
      <c r="A104" s="1"/>
      <c r="B104" s="1"/>
      <c r="C104" s="1"/>
      <c r="D104" s="693">
        <v>435486</v>
      </c>
      <c r="E104" s="1"/>
      <c r="F104" s="1"/>
      <c r="G104" s="1"/>
      <c r="H104" s="1"/>
      <c r="I104" s="12"/>
      <c r="J104" s="13"/>
      <c r="K104" s="13"/>
      <c r="L104" s="13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thickBot="1" x14ac:dyDescent="0.25">
      <c r="A105" s="1"/>
      <c r="B105" s="1"/>
      <c r="C105" s="1"/>
      <c r="D105" s="693">
        <v>989</v>
      </c>
      <c r="E105" s="1"/>
      <c r="F105" s="1"/>
      <c r="G105" s="1"/>
      <c r="H105" s="997">
        <v>5256</v>
      </c>
      <c r="I105" s="998">
        <v>26422</v>
      </c>
      <c r="J105" s="999">
        <v>-21166</v>
      </c>
      <c r="K105" s="998">
        <v>30000</v>
      </c>
      <c r="L105" s="999">
        <v>-24744</v>
      </c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thickBot="1" x14ac:dyDescent="0.25">
      <c r="A106" s="1"/>
      <c r="B106" s="1"/>
      <c r="C106" s="1"/>
      <c r="D106" s="693">
        <v>122533</v>
      </c>
      <c r="E106" s="1"/>
      <c r="F106" s="1"/>
      <c r="G106" s="1"/>
      <c r="H106" s="1000">
        <v>87514</v>
      </c>
      <c r="I106" s="1001">
        <v>74093</v>
      </c>
      <c r="J106" s="1001">
        <v>13421</v>
      </c>
      <c r="K106" s="1001">
        <v>62000</v>
      </c>
      <c r="L106" s="1001">
        <v>25514</v>
      </c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thickBot="1" x14ac:dyDescent="0.25">
      <c r="A107" s="1"/>
      <c r="B107" s="1"/>
      <c r="C107" s="1"/>
      <c r="D107" s="692">
        <f>SUM(D101:D106)</f>
        <v>3918069</v>
      </c>
      <c r="E107" s="1"/>
      <c r="F107" s="1"/>
      <c r="G107" s="1"/>
      <c r="H107" s="1000">
        <v>156213</v>
      </c>
      <c r="I107" s="1001">
        <v>154526</v>
      </c>
      <c r="J107" s="1001">
        <v>1687</v>
      </c>
      <c r="K107" s="1001">
        <v>156736</v>
      </c>
      <c r="L107" s="1002">
        <v>-523</v>
      </c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thickBot="1" x14ac:dyDescent="0.25">
      <c r="A108" s="1"/>
      <c r="B108" s="1"/>
      <c r="C108" s="1"/>
      <c r="D108" s="1"/>
      <c r="E108" s="1"/>
      <c r="F108" s="1"/>
      <c r="G108" s="1"/>
      <c r="H108" s="1000">
        <v>978123</v>
      </c>
      <c r="I108" s="1001">
        <v>1095567</v>
      </c>
      <c r="J108" s="1002">
        <v>-117444</v>
      </c>
      <c r="K108" s="1001">
        <v>1027696</v>
      </c>
      <c r="L108" s="1002">
        <v>-49573</v>
      </c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thickBot="1" x14ac:dyDescent="0.25">
      <c r="A109" s="1"/>
      <c r="B109" s="1"/>
      <c r="C109" s="1"/>
      <c r="D109" s="1"/>
      <c r="E109" s="1"/>
      <c r="F109" s="1"/>
      <c r="G109" s="1"/>
      <c r="H109" s="1000">
        <v>2025</v>
      </c>
      <c r="I109" s="1001">
        <v>2370</v>
      </c>
      <c r="J109" s="1002">
        <v>-345</v>
      </c>
      <c r="K109" s="1001">
        <v>2000</v>
      </c>
      <c r="L109" s="1001">
        <v>25</v>
      </c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thickBot="1" x14ac:dyDescent="0.25">
      <c r="A110" s="1"/>
      <c r="B110" s="1"/>
      <c r="C110" s="1"/>
      <c r="D110" s="1"/>
      <c r="E110" s="1"/>
      <c r="F110" s="1"/>
      <c r="G110" s="1"/>
      <c r="H110" s="1000">
        <v>89491</v>
      </c>
      <c r="I110" s="1001">
        <v>8000</v>
      </c>
      <c r="J110" s="1001">
        <v>81491</v>
      </c>
      <c r="K110" s="1001">
        <v>41100</v>
      </c>
      <c r="L110" s="1001">
        <v>48391</v>
      </c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thickBot="1" x14ac:dyDescent="0.25">
      <c r="A111" s="1"/>
      <c r="B111" s="1"/>
      <c r="C111" s="1"/>
      <c r="D111" s="1"/>
      <c r="E111" s="1"/>
      <c r="F111" s="1"/>
      <c r="G111" s="1"/>
      <c r="H111" s="1000">
        <v>6290</v>
      </c>
      <c r="I111" s="1001">
        <v>25412</v>
      </c>
      <c r="J111" s="1002">
        <v>-19122</v>
      </c>
      <c r="K111" s="1001">
        <v>24500</v>
      </c>
      <c r="L111" s="1002">
        <v>-18210</v>
      </c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thickBot="1" x14ac:dyDescent="0.25">
      <c r="A112" s="1"/>
      <c r="B112" s="1"/>
      <c r="C112" s="1"/>
      <c r="D112" s="1"/>
      <c r="E112" s="1"/>
      <c r="F112" s="1"/>
      <c r="G112" s="1"/>
      <c r="H112" s="1000">
        <v>8360</v>
      </c>
      <c r="I112" s="1001">
        <v>11283</v>
      </c>
      <c r="J112" s="1002">
        <v>-2923</v>
      </c>
      <c r="K112" s="1001">
        <v>13000</v>
      </c>
      <c r="L112" s="1002">
        <v>-4640</v>
      </c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thickBot="1" x14ac:dyDescent="0.25">
      <c r="A113" s="1"/>
      <c r="B113" s="1"/>
      <c r="C113" s="1"/>
      <c r="D113" s="1"/>
      <c r="E113" s="1"/>
      <c r="F113" s="1"/>
      <c r="G113" s="1"/>
      <c r="H113" s="1000">
        <v>1387398</v>
      </c>
      <c r="I113" s="1001">
        <v>1278664</v>
      </c>
      <c r="J113" s="1001">
        <v>108734</v>
      </c>
      <c r="K113" s="1001">
        <v>1345207</v>
      </c>
      <c r="L113" s="1001">
        <v>42191</v>
      </c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thickBot="1" x14ac:dyDescent="0.25">
      <c r="A114" s="1"/>
      <c r="B114" s="1"/>
      <c r="C114" s="1"/>
      <c r="D114" s="1"/>
      <c r="E114" s="1"/>
      <c r="F114" s="1"/>
      <c r="G114" s="1"/>
      <c r="H114" s="1000">
        <v>109326</v>
      </c>
      <c r="I114" s="1001">
        <v>106680</v>
      </c>
      <c r="J114" s="1001">
        <v>2646</v>
      </c>
      <c r="K114" s="1001">
        <v>108000</v>
      </c>
      <c r="L114" s="1001">
        <v>1326</v>
      </c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thickBot="1" x14ac:dyDescent="0.25">
      <c r="A115" s="1"/>
      <c r="B115" s="1"/>
      <c r="C115" s="1"/>
      <c r="D115" s="1"/>
      <c r="E115" s="1"/>
      <c r="F115" s="1"/>
      <c r="G115" s="1"/>
      <c r="H115" s="1000">
        <v>99410</v>
      </c>
      <c r="I115" s="1001">
        <v>88935</v>
      </c>
      <c r="J115" s="1001">
        <v>10475</v>
      </c>
      <c r="K115" s="1001">
        <v>90951</v>
      </c>
      <c r="L115" s="1001">
        <v>8459</v>
      </c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thickBot="1" x14ac:dyDescent="0.25">
      <c r="A116" s="1"/>
      <c r="B116" s="1"/>
      <c r="C116" s="1"/>
      <c r="D116" s="1"/>
      <c r="E116" s="1"/>
      <c r="F116" s="1"/>
      <c r="G116" s="1"/>
      <c r="H116" s="1000">
        <v>2527</v>
      </c>
      <c r="I116" s="1001">
        <v>2155</v>
      </c>
      <c r="J116" s="1001">
        <v>372</v>
      </c>
      <c r="K116" s="1001">
        <v>1500</v>
      </c>
      <c r="L116" s="1001">
        <v>1027</v>
      </c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thickBot="1" x14ac:dyDescent="0.25">
      <c r="A117" s="1"/>
      <c r="B117" s="1"/>
      <c r="C117" s="1"/>
      <c r="D117" s="1"/>
      <c r="E117" s="1"/>
      <c r="F117" s="1"/>
      <c r="G117" s="1"/>
      <c r="H117" s="1000">
        <v>0</v>
      </c>
      <c r="I117" s="1001">
        <v>35139</v>
      </c>
      <c r="J117" s="1002">
        <v>-35139</v>
      </c>
      <c r="K117" s="1001">
        <v>0</v>
      </c>
      <c r="L117" s="1001">
        <v>0</v>
      </c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thickBot="1" x14ac:dyDescent="0.25">
      <c r="A118" s="1"/>
      <c r="B118" s="1"/>
      <c r="C118" s="1"/>
      <c r="D118" s="1"/>
      <c r="E118" s="1"/>
      <c r="F118" s="1"/>
      <c r="G118" s="1"/>
      <c r="H118" s="1000">
        <v>91584</v>
      </c>
      <c r="I118" s="1001">
        <v>97866</v>
      </c>
      <c r="J118" s="1002">
        <v>-6282</v>
      </c>
      <c r="K118" s="1001">
        <v>97310</v>
      </c>
      <c r="L118" s="1002">
        <v>-5726</v>
      </c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692">
        <f>SUM(H105:H118)</f>
        <v>3023517</v>
      </c>
      <c r="I119" s="692">
        <f t="shared" ref="I119:L119" si="8">SUM(I105:I118)</f>
        <v>3007112</v>
      </c>
      <c r="J119" s="692">
        <f t="shared" si="8"/>
        <v>16405</v>
      </c>
      <c r="K119" s="692">
        <f t="shared" si="8"/>
        <v>3000000</v>
      </c>
      <c r="L119" s="692">
        <f t="shared" si="8"/>
        <v>23517</v>
      </c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2"/>
      <c r="J120" s="13"/>
      <c r="K120" s="13"/>
      <c r="L120" s="13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2"/>
      <c r="J121" s="13"/>
      <c r="K121" s="13"/>
      <c r="L121" s="13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2"/>
      <c r="J122" s="13"/>
      <c r="K122" s="13"/>
      <c r="L122" s="13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2"/>
      <c r="J123" s="13"/>
      <c r="K123" s="13"/>
      <c r="L123" s="13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2"/>
      <c r="J124" s="13"/>
      <c r="K124" s="13"/>
      <c r="L124" s="13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2"/>
      <c r="J125" s="13"/>
      <c r="K125" s="13"/>
      <c r="L125" s="13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2"/>
      <c r="J126" s="13"/>
      <c r="K126" s="13"/>
      <c r="L126" s="13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2"/>
      <c r="J127" s="13"/>
      <c r="K127" s="13"/>
      <c r="L127" s="13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2"/>
      <c r="J128" s="13"/>
      <c r="K128" s="13"/>
      <c r="L128" s="13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2"/>
      <c r="J129" s="13"/>
      <c r="K129" s="13"/>
      <c r="L129" s="13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2"/>
      <c r="J130" s="13"/>
      <c r="K130" s="13"/>
      <c r="L130" s="13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2"/>
      <c r="J131" s="13"/>
      <c r="K131" s="13"/>
      <c r="L131" s="13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2"/>
      <c r="J132" s="13"/>
      <c r="K132" s="13"/>
      <c r="L132" s="13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2"/>
      <c r="J133" s="13"/>
      <c r="K133" s="13"/>
      <c r="L133" s="13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2"/>
      <c r="J134" s="13"/>
      <c r="K134" s="13"/>
      <c r="L134" s="13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2"/>
      <c r="J135" s="13"/>
      <c r="K135" s="13"/>
      <c r="L135" s="13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2"/>
      <c r="J136" s="13"/>
      <c r="K136" s="13"/>
      <c r="L136" s="13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2"/>
      <c r="J137" s="13"/>
      <c r="K137" s="13"/>
      <c r="L137" s="13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2"/>
      <c r="J138" s="13"/>
      <c r="K138" s="13"/>
      <c r="L138" s="13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2"/>
      <c r="J139" s="13"/>
      <c r="K139" s="13"/>
      <c r="L139" s="13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2"/>
      <c r="J140" s="13"/>
      <c r="K140" s="13"/>
      <c r="L140" s="13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2"/>
      <c r="J141" s="13"/>
      <c r="K141" s="13"/>
      <c r="L141" s="13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2"/>
      <c r="J142" s="13"/>
      <c r="K142" s="13"/>
      <c r="L142" s="13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2"/>
      <c r="J143" s="13"/>
      <c r="K143" s="13"/>
      <c r="L143" s="13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2"/>
      <c r="J144" s="13"/>
      <c r="K144" s="13"/>
      <c r="L144" s="13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2"/>
      <c r="J145" s="13"/>
      <c r="K145" s="13"/>
      <c r="L145" s="13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2"/>
      <c r="J146" s="13"/>
      <c r="K146" s="13"/>
      <c r="L146" s="13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2"/>
      <c r="J147" s="13"/>
      <c r="K147" s="13"/>
      <c r="L147" s="13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2"/>
      <c r="J148" s="13"/>
      <c r="K148" s="13"/>
      <c r="L148" s="13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2"/>
      <c r="J149" s="13"/>
      <c r="K149" s="13"/>
      <c r="L149" s="13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2"/>
      <c r="J150" s="13"/>
      <c r="K150" s="13"/>
      <c r="L150" s="13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2"/>
      <c r="J151" s="13"/>
      <c r="K151" s="13"/>
      <c r="L151" s="13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2"/>
      <c r="J152" s="13"/>
      <c r="K152" s="13"/>
      <c r="L152" s="13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2"/>
      <c r="J153" s="13"/>
      <c r="K153" s="13"/>
      <c r="L153" s="13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2"/>
      <c r="J154" s="13"/>
      <c r="K154" s="13"/>
      <c r="L154" s="13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2"/>
      <c r="J155" s="13"/>
      <c r="K155" s="13"/>
      <c r="L155" s="13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2"/>
      <c r="J156" s="13"/>
      <c r="K156" s="13"/>
      <c r="L156" s="13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2"/>
      <c r="J157" s="13"/>
      <c r="K157" s="13"/>
      <c r="L157" s="13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2"/>
      <c r="J158" s="13"/>
      <c r="K158" s="13"/>
      <c r="L158" s="13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2"/>
      <c r="J159" s="13"/>
      <c r="K159" s="13"/>
      <c r="L159" s="13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2"/>
      <c r="J160" s="13"/>
      <c r="K160" s="13"/>
      <c r="L160" s="13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2"/>
      <c r="J161" s="13"/>
      <c r="K161" s="13"/>
      <c r="L161" s="13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2"/>
      <c r="J162" s="13"/>
      <c r="K162" s="13"/>
      <c r="L162" s="13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2"/>
      <c r="J163" s="13"/>
      <c r="K163" s="13"/>
      <c r="L163" s="13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2"/>
      <c r="J164" s="13"/>
      <c r="K164" s="13"/>
      <c r="L164" s="13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2"/>
      <c r="J165" s="13"/>
      <c r="K165" s="13"/>
      <c r="L165" s="13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2"/>
      <c r="J166" s="13"/>
      <c r="K166" s="13"/>
      <c r="L166" s="13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2"/>
      <c r="J167" s="13"/>
      <c r="K167" s="13"/>
      <c r="L167" s="13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2"/>
      <c r="J168" s="13"/>
      <c r="K168" s="13"/>
      <c r="L168" s="13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2"/>
      <c r="J169" s="13"/>
      <c r="K169" s="13"/>
      <c r="L169" s="13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2"/>
      <c r="J170" s="13"/>
      <c r="K170" s="13"/>
      <c r="L170" s="13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2"/>
      <c r="J171" s="13"/>
      <c r="K171" s="13"/>
      <c r="L171" s="13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2"/>
      <c r="J172" s="13"/>
      <c r="K172" s="13"/>
      <c r="L172" s="13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2"/>
      <c r="J173" s="13"/>
      <c r="K173" s="13"/>
      <c r="L173" s="13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2"/>
      <c r="J174" s="13"/>
      <c r="K174" s="13"/>
      <c r="L174" s="13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2"/>
      <c r="J175" s="13"/>
      <c r="K175" s="13"/>
      <c r="L175" s="13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2"/>
      <c r="J176" s="13"/>
      <c r="K176" s="13"/>
      <c r="L176" s="13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2"/>
      <c r="J177" s="13"/>
      <c r="K177" s="13"/>
      <c r="L177" s="13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2"/>
      <c r="J178" s="13"/>
      <c r="K178" s="13"/>
      <c r="L178" s="13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2"/>
      <c r="J179" s="13"/>
      <c r="K179" s="13"/>
      <c r="L179" s="13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2"/>
      <c r="J180" s="13"/>
      <c r="K180" s="13"/>
      <c r="L180" s="13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2"/>
      <c r="J181" s="13"/>
      <c r="K181" s="13"/>
      <c r="L181" s="13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2"/>
      <c r="J182" s="13"/>
      <c r="K182" s="13"/>
      <c r="L182" s="13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2"/>
      <c r="J183" s="13"/>
      <c r="K183" s="13"/>
      <c r="L183" s="13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2"/>
      <c r="J184" s="13"/>
      <c r="K184" s="13"/>
      <c r="L184" s="13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2"/>
      <c r="J185" s="13"/>
      <c r="K185" s="13"/>
      <c r="L185" s="13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2"/>
      <c r="J186" s="13"/>
      <c r="K186" s="13"/>
      <c r="L186" s="13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2"/>
      <c r="J187" s="13"/>
      <c r="K187" s="13"/>
      <c r="L187" s="13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2"/>
      <c r="J188" s="13"/>
      <c r="K188" s="13"/>
      <c r="L188" s="13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2"/>
      <c r="J189" s="13"/>
      <c r="K189" s="13"/>
      <c r="L189" s="13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2"/>
      <c r="J190" s="13"/>
      <c r="K190" s="13"/>
      <c r="L190" s="13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2"/>
      <c r="J191" s="13"/>
      <c r="K191" s="13"/>
      <c r="L191" s="13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2"/>
      <c r="J192" s="13"/>
      <c r="K192" s="13"/>
      <c r="L192" s="13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2"/>
      <c r="J193" s="13"/>
      <c r="K193" s="13"/>
      <c r="L193" s="13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2"/>
      <c r="J194" s="13"/>
      <c r="K194" s="13"/>
      <c r="L194" s="13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2"/>
      <c r="J195" s="13"/>
      <c r="K195" s="13"/>
      <c r="L195" s="13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2"/>
      <c r="J196" s="13"/>
      <c r="K196" s="13"/>
      <c r="L196" s="13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2"/>
      <c r="J197" s="13"/>
      <c r="K197" s="13"/>
      <c r="L197" s="13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2"/>
      <c r="J198" s="13"/>
      <c r="K198" s="13"/>
      <c r="L198" s="13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2"/>
      <c r="J199" s="13"/>
      <c r="K199" s="13"/>
      <c r="L199" s="13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2"/>
      <c r="J200" s="13"/>
      <c r="K200" s="13"/>
      <c r="L200" s="13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2"/>
      <c r="J201" s="13"/>
      <c r="K201" s="13"/>
      <c r="L201" s="13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2"/>
      <c r="J202" s="13"/>
      <c r="K202" s="13"/>
      <c r="L202" s="13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2"/>
      <c r="J203" s="13"/>
      <c r="K203" s="13"/>
      <c r="L203" s="13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2"/>
      <c r="J204" s="13"/>
      <c r="K204" s="13"/>
      <c r="L204" s="13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2"/>
      <c r="J205" s="13"/>
      <c r="K205" s="13"/>
      <c r="L205" s="13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2"/>
      <c r="J206" s="13"/>
      <c r="K206" s="13"/>
      <c r="L206" s="13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2"/>
      <c r="J207" s="13"/>
      <c r="K207" s="13"/>
      <c r="L207" s="13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2"/>
      <c r="J208" s="13"/>
      <c r="K208" s="13"/>
      <c r="L208" s="13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2"/>
      <c r="J209" s="13"/>
      <c r="K209" s="13"/>
      <c r="L209" s="13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2"/>
      <c r="J210" s="13"/>
      <c r="K210" s="13"/>
      <c r="L210" s="13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2"/>
      <c r="J211" s="13"/>
      <c r="K211" s="13"/>
      <c r="L211" s="13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2"/>
      <c r="J212" s="13"/>
      <c r="K212" s="13"/>
      <c r="L212" s="13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2"/>
      <c r="J213" s="13"/>
      <c r="K213" s="13"/>
      <c r="L213" s="13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2"/>
      <c r="J214" s="13"/>
      <c r="K214" s="13"/>
      <c r="L214" s="13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2"/>
      <c r="J215" s="13"/>
      <c r="K215" s="13"/>
      <c r="L215" s="13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2"/>
      <c r="J216" s="13"/>
      <c r="K216" s="13"/>
      <c r="L216" s="13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2"/>
      <c r="J217" s="13"/>
      <c r="K217" s="13"/>
      <c r="L217" s="13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2"/>
      <c r="J218" s="13"/>
      <c r="K218" s="13"/>
      <c r="L218" s="13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2"/>
      <c r="J219" s="13"/>
      <c r="K219" s="13"/>
      <c r="L219" s="13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2"/>
      <c r="J220" s="13"/>
      <c r="K220" s="13"/>
      <c r="L220" s="13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2"/>
      <c r="J221" s="13"/>
      <c r="K221" s="13"/>
      <c r="L221" s="13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2"/>
      <c r="J222" s="13"/>
      <c r="K222" s="13"/>
      <c r="L222" s="13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2"/>
      <c r="J223" s="13"/>
      <c r="K223" s="13"/>
      <c r="L223" s="13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2"/>
      <c r="J224" s="13"/>
      <c r="K224" s="13"/>
      <c r="L224" s="13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2"/>
      <c r="J225" s="13"/>
      <c r="K225" s="13"/>
      <c r="L225" s="13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2"/>
      <c r="J226" s="13"/>
      <c r="K226" s="13"/>
      <c r="L226" s="13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2"/>
      <c r="J227" s="13"/>
      <c r="K227" s="13"/>
      <c r="L227" s="13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2"/>
      <c r="J228" s="13"/>
      <c r="K228" s="13"/>
      <c r="L228" s="13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2"/>
      <c r="J229" s="13"/>
      <c r="K229" s="13"/>
      <c r="L229" s="13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2"/>
      <c r="J230" s="13"/>
      <c r="K230" s="13"/>
      <c r="L230" s="13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2"/>
      <c r="J231" s="13"/>
      <c r="K231" s="13"/>
      <c r="L231" s="13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2"/>
      <c r="J232" s="13"/>
      <c r="K232" s="13"/>
      <c r="L232" s="13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2"/>
      <c r="J233" s="13"/>
      <c r="K233" s="13"/>
      <c r="L233" s="13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2"/>
      <c r="J234" s="13"/>
      <c r="K234" s="13"/>
      <c r="L234" s="13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2"/>
      <c r="J235" s="13"/>
      <c r="K235" s="13"/>
      <c r="L235" s="13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2"/>
      <c r="J236" s="13"/>
      <c r="K236" s="13"/>
      <c r="L236" s="13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2"/>
      <c r="J237" s="13"/>
      <c r="K237" s="13"/>
      <c r="L237" s="13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2"/>
      <c r="J238" s="13"/>
      <c r="K238" s="13"/>
      <c r="L238" s="13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2"/>
      <c r="J239" s="13"/>
      <c r="K239" s="13"/>
      <c r="L239" s="13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2"/>
      <c r="J240" s="13"/>
      <c r="K240" s="13"/>
      <c r="L240" s="13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2"/>
      <c r="J241" s="13"/>
      <c r="K241" s="13"/>
      <c r="L241" s="13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2"/>
      <c r="J242" s="13"/>
      <c r="K242" s="13"/>
      <c r="L242" s="13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2"/>
      <c r="J243" s="13"/>
      <c r="K243" s="13"/>
      <c r="L243" s="13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2"/>
      <c r="J244" s="13"/>
      <c r="K244" s="13"/>
      <c r="L244" s="13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2"/>
      <c r="J245" s="13"/>
      <c r="K245" s="13"/>
      <c r="L245" s="13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2"/>
      <c r="J246" s="13"/>
      <c r="K246" s="13"/>
      <c r="L246" s="13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2"/>
      <c r="J247" s="13"/>
      <c r="K247" s="13"/>
      <c r="L247" s="13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2"/>
      <c r="J248" s="13"/>
      <c r="K248" s="13"/>
      <c r="L248" s="13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2"/>
      <c r="J249" s="13"/>
      <c r="K249" s="13"/>
      <c r="L249" s="13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2"/>
      <c r="J250" s="13"/>
      <c r="K250" s="13"/>
      <c r="L250" s="13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2"/>
      <c r="J251" s="13"/>
      <c r="K251" s="13"/>
      <c r="L251" s="13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2"/>
      <c r="J252" s="13"/>
      <c r="K252" s="13"/>
      <c r="L252" s="13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2"/>
      <c r="J253" s="13"/>
      <c r="K253" s="13"/>
      <c r="L253" s="13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2"/>
      <c r="J254" s="13"/>
      <c r="K254" s="13"/>
      <c r="L254" s="13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2"/>
      <c r="J255" s="13"/>
      <c r="K255" s="13"/>
      <c r="L255" s="13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2"/>
      <c r="J256" s="13"/>
      <c r="K256" s="13"/>
      <c r="L256" s="13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2"/>
      <c r="J257" s="13"/>
      <c r="K257" s="13"/>
      <c r="L257" s="13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2"/>
      <c r="J258" s="13"/>
      <c r="K258" s="13"/>
      <c r="L258" s="13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2"/>
      <c r="J259" s="13"/>
      <c r="K259" s="13"/>
      <c r="L259" s="13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2"/>
      <c r="J260" s="13"/>
      <c r="K260" s="13"/>
      <c r="L260" s="13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2"/>
      <c r="J261" s="13"/>
      <c r="K261" s="13"/>
      <c r="L261" s="13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2"/>
      <c r="J262" s="13"/>
      <c r="K262" s="13"/>
      <c r="L262" s="13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2"/>
      <c r="J263" s="13"/>
      <c r="K263" s="13"/>
      <c r="L263" s="13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2"/>
      <c r="J264" s="13"/>
      <c r="K264" s="13"/>
      <c r="L264" s="13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2"/>
      <c r="J265" s="13"/>
      <c r="K265" s="13"/>
      <c r="L265" s="13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2"/>
      <c r="J266" s="13"/>
      <c r="K266" s="13"/>
      <c r="L266" s="13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2"/>
      <c r="J267" s="13"/>
      <c r="K267" s="13"/>
      <c r="L267" s="13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2"/>
      <c r="J268" s="13"/>
      <c r="K268" s="13"/>
      <c r="L268" s="13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2"/>
      <c r="J269" s="13"/>
      <c r="K269" s="13"/>
      <c r="L269" s="13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2"/>
      <c r="J270" s="13"/>
      <c r="K270" s="13"/>
      <c r="L270" s="13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2"/>
      <c r="J271" s="13"/>
      <c r="K271" s="13"/>
      <c r="L271" s="13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2"/>
      <c r="J272" s="13"/>
      <c r="K272" s="13"/>
      <c r="L272" s="13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2"/>
      <c r="J273" s="13"/>
      <c r="K273" s="13"/>
      <c r="L273" s="13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2"/>
      <c r="J274" s="13"/>
      <c r="K274" s="13"/>
      <c r="L274" s="13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2"/>
      <c r="J275" s="13"/>
      <c r="K275" s="13"/>
      <c r="L275" s="13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2"/>
      <c r="J276" s="13"/>
      <c r="K276" s="13"/>
      <c r="L276" s="13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2"/>
      <c r="J277" s="13"/>
      <c r="K277" s="13"/>
      <c r="L277" s="13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2"/>
      <c r="J278" s="13"/>
      <c r="K278" s="13"/>
      <c r="L278" s="13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2"/>
      <c r="J279" s="13"/>
      <c r="K279" s="13"/>
      <c r="L279" s="13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2"/>
      <c r="J280" s="13"/>
      <c r="K280" s="13"/>
      <c r="L280" s="13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2"/>
      <c r="J281" s="13"/>
      <c r="K281" s="13"/>
      <c r="L281" s="13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2"/>
      <c r="J282" s="13"/>
      <c r="K282" s="13"/>
      <c r="L282" s="13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2"/>
      <c r="J283" s="13"/>
      <c r="K283" s="13"/>
      <c r="L283" s="13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2"/>
      <c r="J284" s="13"/>
      <c r="K284" s="13"/>
      <c r="L284" s="13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2"/>
      <c r="J285" s="13"/>
      <c r="K285" s="13"/>
      <c r="L285" s="13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2"/>
      <c r="J286" s="13"/>
      <c r="K286" s="13"/>
      <c r="L286" s="13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2"/>
      <c r="J287" s="13"/>
      <c r="K287" s="13"/>
      <c r="L287" s="13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2"/>
      <c r="J288" s="13"/>
      <c r="K288" s="13"/>
      <c r="L288" s="13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2"/>
      <c r="J289" s="13"/>
      <c r="K289" s="13"/>
      <c r="L289" s="13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2"/>
      <c r="J290" s="13"/>
      <c r="K290" s="13"/>
      <c r="L290" s="13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2"/>
      <c r="J291" s="13"/>
      <c r="K291" s="13"/>
      <c r="L291" s="13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2"/>
      <c r="J292" s="13"/>
      <c r="K292" s="13"/>
      <c r="L292" s="13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2"/>
      <c r="J293" s="13"/>
      <c r="K293" s="13"/>
      <c r="L293" s="13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2"/>
      <c r="J294" s="13"/>
      <c r="K294" s="13"/>
      <c r="L294" s="13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2"/>
      <c r="J295" s="13"/>
      <c r="K295" s="13"/>
      <c r="L295" s="13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2"/>
      <c r="J296" s="13"/>
      <c r="K296" s="13"/>
      <c r="L296" s="13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2"/>
      <c r="J297" s="13"/>
      <c r="K297" s="13"/>
      <c r="L297" s="13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2"/>
      <c r="J298" s="13"/>
      <c r="K298" s="13"/>
      <c r="L298" s="13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2"/>
      <c r="J299" s="13"/>
      <c r="K299" s="13"/>
      <c r="L299" s="13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2"/>
      <c r="J300" s="13"/>
      <c r="K300" s="13"/>
      <c r="L300" s="13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2"/>
      <c r="J301" s="13"/>
      <c r="K301" s="13"/>
      <c r="L301" s="13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2"/>
      <c r="J302" s="13"/>
      <c r="K302" s="13"/>
      <c r="L302" s="13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2"/>
      <c r="J303" s="13"/>
      <c r="K303" s="13"/>
      <c r="L303" s="13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2"/>
      <c r="J304" s="13"/>
      <c r="K304" s="13"/>
      <c r="L304" s="13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2"/>
      <c r="J305" s="13"/>
      <c r="K305" s="13"/>
      <c r="L305" s="13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2"/>
      <c r="J306" s="13"/>
      <c r="K306" s="13"/>
      <c r="L306" s="13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2"/>
      <c r="J307" s="13"/>
      <c r="K307" s="13"/>
      <c r="L307" s="13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2"/>
      <c r="J308" s="13"/>
      <c r="K308" s="13"/>
      <c r="L308" s="13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2"/>
      <c r="J309" s="13"/>
      <c r="K309" s="13"/>
      <c r="L309" s="13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2"/>
      <c r="J310" s="13"/>
      <c r="K310" s="13"/>
      <c r="L310" s="13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2"/>
      <c r="J311" s="13"/>
      <c r="K311" s="13"/>
      <c r="L311" s="13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2"/>
      <c r="J312" s="13"/>
      <c r="K312" s="13"/>
      <c r="L312" s="13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2"/>
      <c r="J313" s="13"/>
      <c r="K313" s="13"/>
      <c r="L313" s="13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2"/>
      <c r="J314" s="13"/>
      <c r="K314" s="13"/>
      <c r="L314" s="13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2"/>
      <c r="J315" s="13"/>
      <c r="K315" s="13"/>
      <c r="L315" s="13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2"/>
      <c r="J316" s="13"/>
      <c r="K316" s="13"/>
      <c r="L316" s="13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2"/>
      <c r="J317" s="13"/>
      <c r="K317" s="13"/>
      <c r="L317" s="13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2"/>
      <c r="J318" s="13"/>
      <c r="K318" s="13"/>
      <c r="L318" s="13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2"/>
      <c r="J319" s="13"/>
      <c r="K319" s="13"/>
      <c r="L319" s="13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2"/>
      <c r="J320" s="13"/>
      <c r="K320" s="13"/>
      <c r="L320" s="13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2"/>
      <c r="J321" s="13"/>
      <c r="K321" s="13"/>
      <c r="L321" s="13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2"/>
      <c r="J322" s="13"/>
      <c r="K322" s="13"/>
      <c r="L322" s="13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2"/>
      <c r="J323" s="13"/>
      <c r="K323" s="13"/>
      <c r="L323" s="13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2"/>
      <c r="J324" s="13"/>
      <c r="K324" s="13"/>
      <c r="L324" s="13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2"/>
      <c r="J325" s="13"/>
      <c r="K325" s="13"/>
      <c r="L325" s="13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2"/>
      <c r="J326" s="13"/>
      <c r="K326" s="13"/>
      <c r="L326" s="13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2"/>
      <c r="J327" s="13"/>
      <c r="K327" s="13"/>
      <c r="L327" s="13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2"/>
      <c r="J328" s="13"/>
      <c r="K328" s="13"/>
      <c r="L328" s="13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2"/>
      <c r="J329" s="13"/>
      <c r="K329" s="13"/>
      <c r="L329" s="13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2"/>
      <c r="J330" s="13"/>
      <c r="K330" s="13"/>
      <c r="L330" s="13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2"/>
      <c r="J331" s="13"/>
      <c r="K331" s="13"/>
      <c r="L331" s="13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2"/>
      <c r="J332" s="13"/>
      <c r="K332" s="13"/>
      <c r="L332" s="13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2"/>
      <c r="J333" s="13"/>
      <c r="K333" s="13"/>
      <c r="L333" s="13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2"/>
      <c r="J334" s="13"/>
      <c r="K334" s="13"/>
      <c r="L334" s="13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2"/>
      <c r="J335" s="13"/>
      <c r="K335" s="13"/>
      <c r="L335" s="13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2"/>
      <c r="J336" s="13"/>
      <c r="K336" s="13"/>
      <c r="L336" s="13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2"/>
      <c r="J337" s="13"/>
      <c r="K337" s="13"/>
      <c r="L337" s="13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2"/>
      <c r="J338" s="13"/>
      <c r="K338" s="13"/>
      <c r="L338" s="13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2"/>
      <c r="J339" s="13"/>
      <c r="K339" s="13"/>
      <c r="L339" s="13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2"/>
      <c r="J340" s="13"/>
      <c r="K340" s="13"/>
      <c r="L340" s="13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2"/>
      <c r="J341" s="13"/>
      <c r="K341" s="13"/>
      <c r="L341" s="13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2"/>
      <c r="J342" s="13"/>
      <c r="K342" s="13"/>
      <c r="L342" s="13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2"/>
      <c r="J343" s="13"/>
      <c r="K343" s="13"/>
      <c r="L343" s="13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2"/>
      <c r="J344" s="13"/>
      <c r="K344" s="13"/>
      <c r="L344" s="13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2"/>
      <c r="J345" s="13"/>
      <c r="K345" s="13"/>
      <c r="L345" s="13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2"/>
      <c r="J346" s="13"/>
      <c r="K346" s="13"/>
      <c r="L346" s="13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2"/>
      <c r="J347" s="13"/>
      <c r="K347" s="13"/>
      <c r="L347" s="13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2"/>
      <c r="J348" s="13"/>
      <c r="K348" s="13"/>
      <c r="L348" s="13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2"/>
      <c r="J349" s="13"/>
      <c r="K349" s="13"/>
      <c r="L349" s="13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2"/>
      <c r="J350" s="13"/>
      <c r="K350" s="13"/>
      <c r="L350" s="13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2"/>
      <c r="J351" s="13"/>
      <c r="K351" s="13"/>
      <c r="L351" s="13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2"/>
      <c r="J352" s="13"/>
      <c r="K352" s="13"/>
      <c r="L352" s="13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2"/>
      <c r="J353" s="13"/>
      <c r="K353" s="13"/>
      <c r="L353" s="13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2"/>
      <c r="J354" s="13"/>
      <c r="K354" s="13"/>
      <c r="L354" s="13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2"/>
      <c r="J355" s="13"/>
      <c r="K355" s="13"/>
      <c r="L355" s="13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2"/>
      <c r="J356" s="13"/>
      <c r="K356" s="13"/>
      <c r="L356" s="13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2"/>
      <c r="J357" s="13"/>
      <c r="K357" s="13"/>
      <c r="L357" s="13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2"/>
      <c r="J358" s="13"/>
      <c r="K358" s="13"/>
      <c r="L358" s="13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2"/>
      <c r="J359" s="13"/>
      <c r="K359" s="13"/>
      <c r="L359" s="13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2"/>
      <c r="J360" s="13"/>
      <c r="K360" s="13"/>
      <c r="L360" s="13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2"/>
      <c r="J361" s="13"/>
      <c r="K361" s="13"/>
      <c r="L361" s="13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2"/>
      <c r="J362" s="13"/>
      <c r="K362" s="13"/>
      <c r="L362" s="13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2"/>
      <c r="J363" s="13"/>
      <c r="K363" s="13"/>
      <c r="L363" s="13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2"/>
      <c r="J364" s="13"/>
      <c r="K364" s="13"/>
      <c r="L364" s="13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2"/>
      <c r="J365" s="13"/>
      <c r="K365" s="13"/>
      <c r="L365" s="13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2"/>
      <c r="J366" s="13"/>
      <c r="K366" s="13"/>
      <c r="L366" s="13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2"/>
      <c r="J367" s="13"/>
      <c r="K367" s="13"/>
      <c r="L367" s="13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2"/>
      <c r="J368" s="13"/>
      <c r="K368" s="13"/>
      <c r="L368" s="13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2"/>
      <c r="J369" s="13"/>
      <c r="K369" s="13"/>
      <c r="L369" s="13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2"/>
      <c r="J370" s="13"/>
      <c r="K370" s="13"/>
      <c r="L370" s="13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2"/>
      <c r="J371" s="13"/>
      <c r="K371" s="13"/>
      <c r="L371" s="13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2"/>
      <c r="J372" s="13"/>
      <c r="K372" s="13"/>
      <c r="L372" s="13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2"/>
      <c r="J373" s="13"/>
      <c r="K373" s="13"/>
      <c r="L373" s="13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2"/>
      <c r="J374" s="13"/>
      <c r="K374" s="13"/>
      <c r="L374" s="13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2"/>
      <c r="J375" s="13"/>
      <c r="K375" s="13"/>
      <c r="L375" s="13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2"/>
      <c r="J376" s="13"/>
      <c r="K376" s="13"/>
      <c r="L376" s="13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2"/>
      <c r="J377" s="13"/>
      <c r="K377" s="13"/>
      <c r="L377" s="13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2"/>
      <c r="J378" s="13"/>
      <c r="K378" s="13"/>
      <c r="L378" s="13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2"/>
      <c r="J379" s="13"/>
      <c r="K379" s="13"/>
      <c r="L379" s="13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2"/>
      <c r="J380" s="13"/>
      <c r="K380" s="13"/>
      <c r="L380" s="13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2"/>
      <c r="J381" s="13"/>
      <c r="K381" s="13"/>
      <c r="L381" s="13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2"/>
      <c r="J382" s="13"/>
      <c r="K382" s="13"/>
      <c r="L382" s="13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2"/>
      <c r="J383" s="13"/>
      <c r="K383" s="13"/>
      <c r="L383" s="13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2"/>
      <c r="J384" s="13"/>
      <c r="K384" s="13"/>
      <c r="L384" s="13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2"/>
      <c r="J385" s="13"/>
      <c r="K385" s="13"/>
      <c r="L385" s="13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2"/>
      <c r="J386" s="13"/>
      <c r="K386" s="13"/>
      <c r="L386" s="13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2"/>
      <c r="J387" s="13"/>
      <c r="K387" s="13"/>
      <c r="L387" s="13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2"/>
      <c r="J388" s="13"/>
      <c r="K388" s="13"/>
      <c r="L388" s="13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2"/>
      <c r="J389" s="13"/>
      <c r="K389" s="13"/>
      <c r="L389" s="13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2"/>
      <c r="J390" s="13"/>
      <c r="K390" s="13"/>
      <c r="L390" s="13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2"/>
      <c r="J391" s="13"/>
      <c r="K391" s="13"/>
      <c r="L391" s="13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2"/>
      <c r="J392" s="13"/>
      <c r="K392" s="13"/>
      <c r="L392" s="13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2"/>
      <c r="J393" s="13"/>
      <c r="K393" s="13"/>
      <c r="L393" s="13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2"/>
      <c r="J394" s="13"/>
      <c r="K394" s="13"/>
      <c r="L394" s="13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2"/>
      <c r="J395" s="13"/>
      <c r="K395" s="13"/>
      <c r="L395" s="13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47">
        <v>401591</v>
      </c>
      <c r="J396" s="13"/>
      <c r="K396" s="13"/>
      <c r="L396" s="13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47">
        <v>2000000</v>
      </c>
      <c r="J397" s="13"/>
      <c r="K397" s="13"/>
      <c r="L397" s="13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47">
        <v>1477763</v>
      </c>
      <c r="J398" s="13"/>
      <c r="K398" s="13"/>
      <c r="L398" s="13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47">
        <v>149016</v>
      </c>
      <c r="J399" s="13"/>
      <c r="K399" s="13"/>
      <c r="L399" s="13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48"/>
      <c r="J400" s="13"/>
      <c r="K400" s="13"/>
      <c r="L400" s="13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47">
        <v>22054</v>
      </c>
      <c r="J401" s="13"/>
      <c r="K401" s="13"/>
      <c r="L401" s="13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47">
        <v>324118</v>
      </c>
      <c r="J402" s="13"/>
      <c r="K402" s="13"/>
      <c r="L402" s="13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2"/>
      <c r="J403" s="13"/>
      <c r="K403" s="13"/>
      <c r="L403" s="13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2"/>
      <c r="J404" s="13"/>
      <c r="K404" s="13"/>
      <c r="L404" s="13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2"/>
      <c r="J405" s="13"/>
      <c r="K405" s="13"/>
      <c r="L405" s="13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2"/>
      <c r="J406" s="13"/>
      <c r="K406" s="13"/>
      <c r="L406" s="13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2"/>
      <c r="J407" s="13"/>
      <c r="K407" s="13"/>
      <c r="L407" s="13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2"/>
      <c r="J408" s="13"/>
      <c r="K408" s="13"/>
      <c r="L408" s="13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2"/>
      <c r="J409" s="13"/>
      <c r="K409" s="13"/>
      <c r="L409" s="13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2"/>
      <c r="J410" s="13"/>
      <c r="K410" s="13"/>
      <c r="L410" s="13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2"/>
      <c r="J411" s="13"/>
      <c r="K411" s="13"/>
      <c r="L411" s="13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2"/>
      <c r="J412" s="13"/>
      <c r="K412" s="13"/>
      <c r="L412" s="13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2"/>
      <c r="J413" s="13"/>
      <c r="K413" s="13"/>
      <c r="L413" s="13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2"/>
      <c r="J414" s="13"/>
      <c r="K414" s="13"/>
      <c r="L414" s="13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2"/>
      <c r="J415" s="13"/>
      <c r="K415" s="13"/>
      <c r="L415" s="13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2"/>
      <c r="J416" s="13"/>
      <c r="K416" s="13"/>
      <c r="L416" s="13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2"/>
      <c r="J417" s="13"/>
      <c r="K417" s="13"/>
      <c r="L417" s="13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2"/>
      <c r="J418" s="13"/>
      <c r="K418" s="13"/>
      <c r="L418" s="13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2"/>
      <c r="J419" s="13"/>
      <c r="K419" s="13"/>
      <c r="L419" s="13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2"/>
      <c r="J420" s="13"/>
      <c r="K420" s="13"/>
      <c r="L420" s="13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2"/>
      <c r="J421" s="13"/>
      <c r="K421" s="13"/>
      <c r="L421" s="13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2"/>
      <c r="J422" s="13"/>
      <c r="K422" s="13"/>
      <c r="L422" s="13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2"/>
      <c r="J423" s="13"/>
      <c r="K423" s="13"/>
      <c r="L423" s="13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2"/>
      <c r="J424" s="13"/>
      <c r="K424" s="13"/>
      <c r="L424" s="13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2"/>
      <c r="J425" s="13"/>
      <c r="K425" s="13"/>
      <c r="L425" s="13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2"/>
      <c r="J426" s="13"/>
      <c r="K426" s="13"/>
      <c r="L426" s="13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2"/>
      <c r="J427" s="13"/>
      <c r="K427" s="13"/>
      <c r="L427" s="13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2"/>
      <c r="J428" s="13"/>
      <c r="K428" s="13"/>
      <c r="L428" s="13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2"/>
      <c r="J429" s="13"/>
      <c r="K429" s="13"/>
      <c r="L429" s="13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2"/>
      <c r="J430" s="13"/>
      <c r="K430" s="13"/>
      <c r="L430" s="13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2"/>
      <c r="J431" s="13"/>
      <c r="K431" s="13"/>
      <c r="L431" s="13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2"/>
      <c r="J432" s="13"/>
      <c r="K432" s="13"/>
      <c r="L432" s="13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2"/>
      <c r="J433" s="13"/>
      <c r="K433" s="13"/>
      <c r="L433" s="13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2"/>
      <c r="J434" s="13"/>
      <c r="K434" s="13"/>
      <c r="L434" s="13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2"/>
      <c r="J435" s="13"/>
      <c r="K435" s="13"/>
      <c r="L435" s="13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2"/>
      <c r="J436" s="13"/>
      <c r="K436" s="13"/>
      <c r="L436" s="13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2"/>
      <c r="J437" s="13"/>
      <c r="K437" s="13"/>
      <c r="L437" s="13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2"/>
      <c r="J438" s="13"/>
      <c r="K438" s="13"/>
      <c r="L438" s="13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2"/>
      <c r="J439" s="13"/>
      <c r="K439" s="13"/>
      <c r="L439" s="13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2"/>
      <c r="J440" s="13"/>
      <c r="K440" s="13"/>
      <c r="L440" s="13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2"/>
      <c r="J441" s="13"/>
      <c r="K441" s="13"/>
      <c r="L441" s="13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2"/>
      <c r="J442" s="13"/>
      <c r="K442" s="13"/>
      <c r="L442" s="13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2"/>
      <c r="J443" s="13"/>
      <c r="K443" s="13"/>
      <c r="L443" s="13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2"/>
      <c r="J444" s="13"/>
      <c r="K444" s="13"/>
      <c r="L444" s="13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2"/>
      <c r="J445" s="13"/>
      <c r="K445" s="13"/>
      <c r="L445" s="13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2"/>
      <c r="J446" s="13"/>
      <c r="K446" s="13"/>
      <c r="L446" s="13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2"/>
      <c r="J447" s="13"/>
      <c r="K447" s="13"/>
      <c r="L447" s="13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2"/>
      <c r="J448" s="13"/>
      <c r="K448" s="13"/>
      <c r="L448" s="13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2"/>
      <c r="J449" s="13"/>
      <c r="K449" s="13"/>
      <c r="L449" s="13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2"/>
      <c r="J450" s="13"/>
      <c r="K450" s="13"/>
      <c r="L450" s="13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2"/>
      <c r="J451" s="13"/>
      <c r="K451" s="13"/>
      <c r="L451" s="13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2"/>
      <c r="J452" s="13"/>
      <c r="K452" s="13"/>
      <c r="L452" s="13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2"/>
      <c r="J453" s="13"/>
      <c r="K453" s="13"/>
      <c r="L453" s="13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2"/>
      <c r="J454" s="13"/>
      <c r="K454" s="13"/>
      <c r="L454" s="13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2"/>
      <c r="J455" s="13"/>
      <c r="K455" s="13"/>
      <c r="L455" s="13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2"/>
      <c r="J456" s="13"/>
      <c r="K456" s="13"/>
      <c r="L456" s="13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2"/>
      <c r="J457" s="13"/>
      <c r="K457" s="13"/>
      <c r="L457" s="13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2"/>
      <c r="J458" s="13"/>
      <c r="K458" s="13"/>
      <c r="L458" s="13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2"/>
      <c r="J459" s="13"/>
      <c r="K459" s="13"/>
      <c r="L459" s="13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2"/>
      <c r="J460" s="13"/>
      <c r="K460" s="13"/>
      <c r="L460" s="13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2"/>
      <c r="J461" s="13"/>
      <c r="K461" s="13"/>
      <c r="L461" s="13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2"/>
      <c r="J462" s="13"/>
      <c r="K462" s="13"/>
      <c r="L462" s="13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2"/>
      <c r="J463" s="13"/>
      <c r="K463" s="13"/>
      <c r="L463" s="13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2"/>
      <c r="J464" s="13"/>
      <c r="K464" s="13"/>
      <c r="L464" s="13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2"/>
      <c r="J465" s="13"/>
      <c r="K465" s="13"/>
      <c r="L465" s="13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2"/>
      <c r="J466" s="13"/>
      <c r="K466" s="13"/>
      <c r="L466" s="13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2"/>
      <c r="J467" s="13"/>
      <c r="K467" s="13"/>
      <c r="L467" s="13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2"/>
      <c r="J468" s="13"/>
      <c r="K468" s="13"/>
      <c r="L468" s="13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2"/>
      <c r="J469" s="13"/>
      <c r="K469" s="13"/>
      <c r="L469" s="13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2"/>
      <c r="J470" s="13"/>
      <c r="K470" s="13"/>
      <c r="L470" s="13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2"/>
      <c r="J471" s="13"/>
      <c r="K471" s="13"/>
      <c r="L471" s="13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2"/>
      <c r="J472" s="13"/>
      <c r="K472" s="13"/>
      <c r="L472" s="13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2"/>
      <c r="J473" s="13"/>
      <c r="K473" s="13"/>
      <c r="L473" s="13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2"/>
      <c r="J474" s="13"/>
      <c r="K474" s="13"/>
      <c r="L474" s="13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2"/>
      <c r="J475" s="13"/>
      <c r="K475" s="13"/>
      <c r="L475" s="13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2"/>
      <c r="J476" s="13"/>
      <c r="K476" s="13"/>
      <c r="L476" s="13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2"/>
      <c r="J477" s="13"/>
      <c r="K477" s="13"/>
      <c r="L477" s="13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2"/>
      <c r="J478" s="13"/>
      <c r="K478" s="13"/>
      <c r="L478" s="13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2"/>
      <c r="J479" s="13"/>
      <c r="K479" s="13"/>
      <c r="L479" s="13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2"/>
      <c r="J480" s="13"/>
      <c r="K480" s="13"/>
      <c r="L480" s="13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2"/>
      <c r="J481" s="13"/>
      <c r="K481" s="13"/>
      <c r="L481" s="13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2"/>
      <c r="J482" s="13"/>
      <c r="K482" s="13"/>
      <c r="L482" s="13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2"/>
      <c r="J483" s="13"/>
      <c r="K483" s="13"/>
      <c r="L483" s="13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2"/>
      <c r="J484" s="13"/>
      <c r="K484" s="13"/>
      <c r="L484" s="13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2"/>
      <c r="J485" s="13"/>
      <c r="K485" s="13"/>
      <c r="L485" s="13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2"/>
      <c r="J486" s="13"/>
      <c r="K486" s="13"/>
      <c r="L486" s="13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2"/>
      <c r="J487" s="13"/>
      <c r="K487" s="13"/>
      <c r="L487" s="13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2"/>
      <c r="J488" s="13"/>
      <c r="K488" s="13"/>
      <c r="L488" s="13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2"/>
      <c r="J489" s="13"/>
      <c r="K489" s="13"/>
      <c r="L489" s="13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2"/>
      <c r="J490" s="13"/>
      <c r="K490" s="13"/>
      <c r="L490" s="13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2"/>
      <c r="J491" s="13"/>
      <c r="K491" s="13"/>
      <c r="L491" s="13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2"/>
      <c r="J492" s="13"/>
      <c r="K492" s="13"/>
      <c r="L492" s="13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2"/>
      <c r="J493" s="13"/>
      <c r="K493" s="13"/>
      <c r="L493" s="13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2"/>
      <c r="J494" s="13"/>
      <c r="K494" s="13"/>
      <c r="L494" s="13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2"/>
      <c r="J495" s="13"/>
      <c r="K495" s="13"/>
      <c r="L495" s="13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2"/>
      <c r="J496" s="13"/>
      <c r="K496" s="13"/>
      <c r="L496" s="13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2"/>
      <c r="J497" s="13"/>
      <c r="K497" s="13"/>
      <c r="L497" s="13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2"/>
      <c r="J498" s="13"/>
      <c r="K498" s="13"/>
      <c r="L498" s="13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2"/>
      <c r="J499" s="13"/>
      <c r="K499" s="13"/>
      <c r="L499" s="13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2"/>
      <c r="J500" s="13"/>
      <c r="K500" s="13"/>
      <c r="L500" s="13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2"/>
      <c r="J501" s="13"/>
      <c r="K501" s="13"/>
      <c r="L501" s="13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2"/>
      <c r="J502" s="13"/>
      <c r="K502" s="13"/>
      <c r="L502" s="13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2"/>
      <c r="J503" s="13"/>
      <c r="K503" s="13"/>
      <c r="L503" s="13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2"/>
      <c r="J504" s="13"/>
      <c r="K504" s="13"/>
      <c r="L504" s="13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2"/>
      <c r="J505" s="13"/>
      <c r="K505" s="13"/>
      <c r="L505" s="13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2"/>
      <c r="J506" s="13"/>
      <c r="K506" s="13"/>
      <c r="L506" s="13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2"/>
      <c r="J507" s="13"/>
      <c r="K507" s="13"/>
      <c r="L507" s="13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2"/>
      <c r="J508" s="13"/>
      <c r="K508" s="13"/>
      <c r="L508" s="13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2"/>
      <c r="J509" s="13"/>
      <c r="K509" s="13"/>
      <c r="L509" s="13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2"/>
      <c r="J510" s="13"/>
      <c r="K510" s="13"/>
      <c r="L510" s="13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2"/>
      <c r="J511" s="13"/>
      <c r="K511" s="13"/>
      <c r="L511" s="13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2"/>
      <c r="J512" s="13"/>
      <c r="K512" s="13"/>
      <c r="L512" s="13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2"/>
      <c r="J513" s="13"/>
      <c r="K513" s="13"/>
      <c r="L513" s="13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2"/>
      <c r="J514" s="13"/>
      <c r="K514" s="13"/>
      <c r="L514" s="13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2"/>
      <c r="J515" s="13"/>
      <c r="K515" s="13"/>
      <c r="L515" s="13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2"/>
      <c r="J516" s="13"/>
      <c r="K516" s="13"/>
      <c r="L516" s="13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2"/>
      <c r="J517" s="13"/>
      <c r="K517" s="13"/>
      <c r="L517" s="13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2"/>
      <c r="J518" s="13"/>
      <c r="K518" s="13"/>
      <c r="L518" s="13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2"/>
      <c r="J519" s="13"/>
      <c r="K519" s="13"/>
      <c r="L519" s="13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2"/>
      <c r="J520" s="13"/>
      <c r="K520" s="13"/>
      <c r="L520" s="13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2"/>
      <c r="J521" s="13"/>
      <c r="K521" s="13"/>
      <c r="L521" s="13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2"/>
      <c r="J522" s="13"/>
      <c r="K522" s="13"/>
      <c r="L522" s="13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2"/>
      <c r="J523" s="13"/>
      <c r="K523" s="13"/>
      <c r="L523" s="13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2"/>
      <c r="J524" s="13"/>
      <c r="K524" s="13"/>
      <c r="L524" s="13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2"/>
      <c r="J525" s="13"/>
      <c r="K525" s="13"/>
      <c r="L525" s="13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2"/>
      <c r="J526" s="13"/>
      <c r="K526" s="13"/>
      <c r="L526" s="13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2"/>
      <c r="J527" s="13"/>
      <c r="K527" s="13"/>
      <c r="L527" s="13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2"/>
      <c r="J528" s="13"/>
      <c r="K528" s="13"/>
      <c r="L528" s="13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2"/>
      <c r="J529" s="13"/>
      <c r="K529" s="13"/>
      <c r="L529" s="13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2"/>
      <c r="J530" s="13"/>
      <c r="K530" s="13"/>
      <c r="L530" s="13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2"/>
      <c r="J531" s="13"/>
      <c r="K531" s="13"/>
      <c r="L531" s="13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2"/>
      <c r="J532" s="13"/>
      <c r="K532" s="13"/>
      <c r="L532" s="13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2"/>
      <c r="J533" s="13"/>
      <c r="K533" s="13"/>
      <c r="L533" s="13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2"/>
      <c r="J534" s="13"/>
      <c r="K534" s="13"/>
      <c r="L534" s="13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2"/>
      <c r="J535" s="13"/>
      <c r="K535" s="13"/>
      <c r="L535" s="13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2"/>
      <c r="J536" s="13"/>
      <c r="K536" s="13"/>
      <c r="L536" s="13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2"/>
      <c r="J537" s="13"/>
      <c r="K537" s="13"/>
      <c r="L537" s="13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2"/>
      <c r="J538" s="13"/>
      <c r="K538" s="13"/>
      <c r="L538" s="13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2"/>
      <c r="J539" s="13"/>
      <c r="K539" s="13"/>
      <c r="L539" s="13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2"/>
      <c r="J540" s="13"/>
      <c r="K540" s="13"/>
      <c r="L540" s="13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2"/>
      <c r="J541" s="13"/>
      <c r="K541" s="13"/>
      <c r="L541" s="13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2"/>
      <c r="J542" s="13"/>
      <c r="K542" s="13"/>
      <c r="L542" s="13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2"/>
      <c r="J543" s="13"/>
      <c r="K543" s="13"/>
      <c r="L543" s="13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2"/>
      <c r="J544" s="13"/>
      <c r="K544" s="13"/>
      <c r="L544" s="13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2"/>
      <c r="J545" s="13"/>
      <c r="K545" s="13"/>
      <c r="L545" s="13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2"/>
      <c r="J546" s="13"/>
      <c r="K546" s="13"/>
      <c r="L546" s="13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2"/>
      <c r="J547" s="13"/>
      <c r="K547" s="13"/>
      <c r="L547" s="13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2"/>
      <c r="J548" s="13"/>
      <c r="K548" s="13"/>
      <c r="L548" s="13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2"/>
      <c r="J549" s="13"/>
      <c r="K549" s="13"/>
      <c r="L549" s="13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2"/>
      <c r="J550" s="13"/>
      <c r="K550" s="13"/>
      <c r="L550" s="13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2"/>
      <c r="J551" s="13"/>
      <c r="K551" s="13"/>
      <c r="L551" s="13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2"/>
      <c r="J552" s="13"/>
      <c r="K552" s="13"/>
      <c r="L552" s="13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2"/>
      <c r="J553" s="13"/>
      <c r="K553" s="13"/>
      <c r="L553" s="13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2"/>
      <c r="J554" s="13"/>
      <c r="K554" s="13"/>
      <c r="L554" s="13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2"/>
      <c r="J555" s="13"/>
      <c r="K555" s="13"/>
      <c r="L555" s="13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2"/>
      <c r="J556" s="13"/>
      <c r="K556" s="13"/>
      <c r="L556" s="13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2"/>
      <c r="J557" s="13"/>
      <c r="K557" s="13"/>
      <c r="L557" s="13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2"/>
      <c r="J558" s="13"/>
      <c r="K558" s="13"/>
      <c r="L558" s="13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2"/>
      <c r="J559" s="13"/>
      <c r="K559" s="13"/>
      <c r="L559" s="13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2"/>
      <c r="J560" s="13"/>
      <c r="K560" s="13"/>
      <c r="L560" s="13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2"/>
      <c r="J561" s="13"/>
      <c r="K561" s="13"/>
      <c r="L561" s="13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2"/>
      <c r="J562" s="13"/>
      <c r="K562" s="13"/>
      <c r="L562" s="13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2"/>
      <c r="J563" s="13"/>
      <c r="K563" s="13"/>
      <c r="L563" s="13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2"/>
      <c r="J564" s="13"/>
      <c r="K564" s="13"/>
      <c r="L564" s="13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2"/>
      <c r="J565" s="13"/>
      <c r="K565" s="13"/>
      <c r="L565" s="13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2"/>
      <c r="J566" s="13"/>
      <c r="K566" s="13"/>
      <c r="L566" s="13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2"/>
      <c r="J567" s="13"/>
      <c r="K567" s="13"/>
      <c r="L567" s="13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2"/>
      <c r="J568" s="13"/>
      <c r="K568" s="13"/>
      <c r="L568" s="13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2"/>
      <c r="J569" s="13"/>
      <c r="K569" s="13"/>
      <c r="L569" s="13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2"/>
      <c r="J570" s="13"/>
      <c r="K570" s="13"/>
      <c r="L570" s="13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2"/>
      <c r="J571" s="13"/>
      <c r="K571" s="13"/>
      <c r="L571" s="13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2"/>
      <c r="J572" s="13"/>
      <c r="K572" s="13"/>
      <c r="L572" s="13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2"/>
      <c r="J573" s="13"/>
      <c r="K573" s="13"/>
      <c r="L573" s="13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2"/>
      <c r="J574" s="13"/>
      <c r="K574" s="13"/>
      <c r="L574" s="13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2"/>
      <c r="J575" s="13"/>
      <c r="K575" s="13"/>
      <c r="L575" s="13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2"/>
      <c r="J576" s="13"/>
      <c r="K576" s="13"/>
      <c r="L576" s="13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2"/>
      <c r="J577" s="13"/>
      <c r="K577" s="13"/>
      <c r="L577" s="13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2"/>
      <c r="J578" s="13"/>
      <c r="K578" s="13"/>
      <c r="L578" s="13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2"/>
      <c r="J579" s="13"/>
      <c r="K579" s="13"/>
      <c r="L579" s="13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2"/>
      <c r="J580" s="13"/>
      <c r="K580" s="13"/>
      <c r="L580" s="13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2"/>
      <c r="J581" s="13"/>
      <c r="K581" s="13"/>
      <c r="L581" s="13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2"/>
      <c r="J582" s="13"/>
      <c r="K582" s="13"/>
      <c r="L582" s="13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2"/>
      <c r="J583" s="13"/>
      <c r="K583" s="13"/>
      <c r="L583" s="13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2"/>
      <c r="J584" s="13"/>
      <c r="K584" s="13"/>
      <c r="L584" s="13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2"/>
      <c r="J585" s="13"/>
      <c r="K585" s="13"/>
      <c r="L585" s="13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2"/>
      <c r="J586" s="13"/>
      <c r="K586" s="13"/>
      <c r="L586" s="13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2"/>
      <c r="J587" s="13"/>
      <c r="K587" s="13"/>
      <c r="L587" s="13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2"/>
      <c r="J588" s="13"/>
      <c r="K588" s="13"/>
      <c r="L588" s="13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2"/>
      <c r="J589" s="13"/>
      <c r="K589" s="13"/>
      <c r="L589" s="13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2"/>
      <c r="J590" s="13"/>
      <c r="K590" s="13"/>
      <c r="L590" s="13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2"/>
      <c r="J591" s="13"/>
      <c r="K591" s="13"/>
      <c r="L591" s="13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2"/>
      <c r="J592" s="13"/>
      <c r="K592" s="13"/>
      <c r="L592" s="13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2"/>
      <c r="J593" s="13"/>
      <c r="K593" s="13"/>
      <c r="L593" s="13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2"/>
      <c r="J594" s="13"/>
      <c r="K594" s="13"/>
      <c r="L594" s="13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2"/>
      <c r="J595" s="13"/>
      <c r="K595" s="13"/>
      <c r="L595" s="13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2"/>
      <c r="J596" s="13"/>
      <c r="K596" s="13"/>
      <c r="L596" s="13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2"/>
      <c r="J597" s="13"/>
      <c r="K597" s="13"/>
      <c r="L597" s="13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2"/>
      <c r="J598" s="13"/>
      <c r="K598" s="13"/>
      <c r="L598" s="13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2"/>
      <c r="J599" s="13"/>
      <c r="K599" s="13"/>
      <c r="L599" s="13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2"/>
      <c r="J600" s="13"/>
      <c r="K600" s="13"/>
      <c r="L600" s="13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2"/>
      <c r="J601" s="13"/>
      <c r="K601" s="13"/>
      <c r="L601" s="13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2"/>
      <c r="J602" s="13"/>
      <c r="K602" s="13"/>
      <c r="L602" s="13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2"/>
      <c r="J603" s="13"/>
      <c r="K603" s="13"/>
      <c r="L603" s="13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2"/>
      <c r="J604" s="13"/>
      <c r="K604" s="13"/>
      <c r="L604" s="13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2"/>
      <c r="J605" s="13"/>
      <c r="K605" s="13"/>
      <c r="L605" s="13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2"/>
      <c r="J606" s="13"/>
      <c r="K606" s="13"/>
      <c r="L606" s="13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2"/>
      <c r="J607" s="13"/>
      <c r="K607" s="13"/>
      <c r="L607" s="13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2"/>
      <c r="J608" s="13"/>
      <c r="K608" s="13"/>
      <c r="L608" s="13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2"/>
      <c r="J609" s="13"/>
      <c r="K609" s="13"/>
      <c r="L609" s="13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2"/>
      <c r="J610" s="13"/>
      <c r="K610" s="13"/>
      <c r="L610" s="13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2"/>
      <c r="J611" s="13"/>
      <c r="K611" s="13"/>
      <c r="L611" s="13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2"/>
      <c r="J612" s="13"/>
      <c r="K612" s="13"/>
      <c r="L612" s="13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2"/>
      <c r="J613" s="13"/>
      <c r="K613" s="13"/>
      <c r="L613" s="13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2"/>
      <c r="J614" s="13"/>
      <c r="K614" s="13"/>
      <c r="L614" s="13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2"/>
      <c r="J615" s="13"/>
      <c r="K615" s="13"/>
      <c r="L615" s="13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2"/>
      <c r="J616" s="13"/>
      <c r="K616" s="13"/>
      <c r="L616" s="13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2"/>
      <c r="J617" s="13"/>
      <c r="K617" s="13"/>
      <c r="L617" s="13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2"/>
      <c r="J618" s="13"/>
      <c r="K618" s="13"/>
      <c r="L618" s="13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2"/>
      <c r="J619" s="13"/>
      <c r="K619" s="13"/>
      <c r="L619" s="13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2"/>
      <c r="J620" s="13"/>
      <c r="K620" s="13"/>
      <c r="L620" s="13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2"/>
      <c r="J621" s="13"/>
      <c r="K621" s="13"/>
      <c r="L621" s="13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2"/>
      <c r="J622" s="13"/>
      <c r="K622" s="13"/>
      <c r="L622" s="13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2"/>
      <c r="J623" s="13"/>
      <c r="K623" s="13"/>
      <c r="L623" s="13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2"/>
      <c r="J624" s="13"/>
      <c r="K624" s="13"/>
      <c r="L624" s="13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2"/>
      <c r="J625" s="13"/>
      <c r="K625" s="13"/>
      <c r="L625" s="13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2"/>
      <c r="J626" s="13"/>
      <c r="K626" s="13"/>
      <c r="L626" s="13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2"/>
      <c r="J627" s="13"/>
      <c r="K627" s="13"/>
      <c r="L627" s="13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2"/>
      <c r="J628" s="13"/>
      <c r="K628" s="13"/>
      <c r="L628" s="13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2"/>
      <c r="J629" s="13"/>
      <c r="K629" s="13"/>
      <c r="L629" s="13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2"/>
      <c r="J630" s="13"/>
      <c r="K630" s="13"/>
      <c r="L630" s="13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2"/>
      <c r="J631" s="13"/>
      <c r="K631" s="13"/>
      <c r="L631" s="13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2"/>
      <c r="J632" s="13"/>
      <c r="K632" s="13"/>
      <c r="L632" s="13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2"/>
      <c r="J633" s="13"/>
      <c r="K633" s="13"/>
      <c r="L633" s="13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2"/>
      <c r="J634" s="13"/>
      <c r="K634" s="13"/>
      <c r="L634" s="13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2"/>
      <c r="J635" s="13"/>
      <c r="K635" s="13"/>
      <c r="L635" s="13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2"/>
      <c r="J636" s="13"/>
      <c r="K636" s="13"/>
      <c r="L636" s="13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2"/>
      <c r="J637" s="13"/>
      <c r="K637" s="13"/>
      <c r="L637" s="13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2"/>
      <c r="J638" s="13"/>
      <c r="K638" s="13"/>
      <c r="L638" s="13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2"/>
      <c r="J639" s="13"/>
      <c r="K639" s="13"/>
      <c r="L639" s="13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2"/>
      <c r="J640" s="13"/>
      <c r="K640" s="13"/>
      <c r="L640" s="13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2"/>
      <c r="J641" s="13"/>
      <c r="K641" s="13"/>
      <c r="L641" s="13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2"/>
      <c r="J642" s="13"/>
      <c r="K642" s="13"/>
      <c r="L642" s="13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2"/>
      <c r="J643" s="13"/>
      <c r="K643" s="13"/>
      <c r="L643" s="13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2"/>
      <c r="J644" s="13"/>
      <c r="K644" s="13"/>
      <c r="L644" s="13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2"/>
      <c r="J645" s="13"/>
      <c r="K645" s="13"/>
      <c r="L645" s="13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2"/>
      <c r="J646" s="13"/>
      <c r="K646" s="13"/>
      <c r="L646" s="13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2"/>
      <c r="J647" s="13"/>
      <c r="K647" s="13"/>
      <c r="L647" s="13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2"/>
      <c r="J648" s="13"/>
      <c r="K648" s="13"/>
      <c r="L648" s="13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2"/>
      <c r="J649" s="13"/>
      <c r="K649" s="13"/>
      <c r="L649" s="13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2"/>
      <c r="J650" s="13"/>
      <c r="K650" s="13"/>
      <c r="L650" s="13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2"/>
      <c r="J651" s="13"/>
      <c r="K651" s="13"/>
      <c r="L651" s="13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2"/>
      <c r="J652" s="13"/>
      <c r="K652" s="13"/>
      <c r="L652" s="13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2"/>
      <c r="J653" s="13"/>
      <c r="K653" s="13"/>
      <c r="L653" s="13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2"/>
      <c r="J654" s="13"/>
      <c r="K654" s="13"/>
      <c r="L654" s="13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2"/>
      <c r="J655" s="13"/>
      <c r="K655" s="13"/>
      <c r="L655" s="13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2"/>
      <c r="J656" s="13"/>
      <c r="K656" s="13"/>
      <c r="L656" s="13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2"/>
      <c r="J657" s="13"/>
      <c r="K657" s="13"/>
      <c r="L657" s="13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2"/>
      <c r="J658" s="13"/>
      <c r="K658" s="13"/>
      <c r="L658" s="13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2"/>
      <c r="J659" s="13"/>
      <c r="K659" s="13"/>
      <c r="L659" s="13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2"/>
      <c r="J660" s="13"/>
      <c r="K660" s="13"/>
      <c r="L660" s="13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2"/>
      <c r="J661" s="13"/>
      <c r="K661" s="13"/>
      <c r="L661" s="13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2"/>
      <c r="J662" s="13"/>
      <c r="K662" s="13"/>
      <c r="L662" s="13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2"/>
      <c r="J663" s="13"/>
      <c r="K663" s="13"/>
      <c r="L663" s="13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2"/>
      <c r="J664" s="13"/>
      <c r="K664" s="13"/>
      <c r="L664" s="13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2"/>
      <c r="J665" s="13"/>
      <c r="K665" s="13"/>
      <c r="L665" s="13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2"/>
      <c r="J666" s="13"/>
      <c r="K666" s="13"/>
      <c r="L666" s="13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2"/>
      <c r="J667" s="13"/>
      <c r="K667" s="13"/>
      <c r="L667" s="13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2"/>
      <c r="J668" s="13"/>
      <c r="K668" s="13"/>
      <c r="L668" s="13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2"/>
      <c r="J669" s="13"/>
      <c r="K669" s="13"/>
      <c r="L669" s="13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2"/>
      <c r="J670" s="13"/>
      <c r="K670" s="13"/>
      <c r="L670" s="13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2"/>
      <c r="J671" s="13"/>
      <c r="K671" s="13"/>
      <c r="L671" s="13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2"/>
      <c r="J672" s="13"/>
      <c r="K672" s="13"/>
      <c r="L672" s="13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2"/>
      <c r="J673" s="13"/>
      <c r="K673" s="13"/>
      <c r="L673" s="13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2"/>
      <c r="J674" s="13"/>
      <c r="K674" s="13"/>
      <c r="L674" s="13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2"/>
      <c r="J675" s="13"/>
      <c r="K675" s="13"/>
      <c r="L675" s="13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2"/>
      <c r="J676" s="13"/>
      <c r="K676" s="13"/>
      <c r="L676" s="13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2"/>
      <c r="J677" s="13"/>
      <c r="K677" s="13"/>
      <c r="L677" s="13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2"/>
      <c r="J678" s="13"/>
      <c r="K678" s="13"/>
      <c r="L678" s="13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2"/>
      <c r="J679" s="13"/>
      <c r="K679" s="13"/>
      <c r="L679" s="13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2"/>
      <c r="J680" s="13"/>
      <c r="K680" s="13"/>
      <c r="L680" s="13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2"/>
      <c r="J681" s="13"/>
      <c r="K681" s="13"/>
      <c r="L681" s="13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2"/>
      <c r="J682" s="13"/>
      <c r="K682" s="13"/>
      <c r="L682" s="13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2"/>
      <c r="J683" s="13"/>
      <c r="K683" s="13"/>
      <c r="L683" s="13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2"/>
      <c r="J684" s="13"/>
      <c r="K684" s="13"/>
      <c r="L684" s="13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2"/>
      <c r="J685" s="13"/>
      <c r="K685" s="13"/>
      <c r="L685" s="13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2"/>
      <c r="J686" s="13"/>
      <c r="K686" s="13"/>
      <c r="L686" s="13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2"/>
      <c r="J687" s="13"/>
      <c r="K687" s="13"/>
      <c r="L687" s="13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2"/>
      <c r="J688" s="13"/>
      <c r="K688" s="13"/>
      <c r="L688" s="13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2"/>
      <c r="J689" s="13"/>
      <c r="K689" s="13"/>
      <c r="L689" s="13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2"/>
      <c r="J690" s="13"/>
      <c r="K690" s="13"/>
      <c r="L690" s="13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2"/>
      <c r="J691" s="13"/>
      <c r="K691" s="13"/>
      <c r="L691" s="13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2"/>
      <c r="J692" s="13"/>
      <c r="K692" s="13"/>
      <c r="L692" s="13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2"/>
      <c r="J693" s="13"/>
      <c r="K693" s="13"/>
      <c r="L693" s="13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2"/>
      <c r="J694" s="13"/>
      <c r="K694" s="13"/>
      <c r="L694" s="13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2"/>
      <c r="J695" s="13"/>
      <c r="K695" s="13"/>
      <c r="L695" s="13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2"/>
      <c r="J696" s="13"/>
      <c r="K696" s="13"/>
      <c r="L696" s="13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2"/>
      <c r="J697" s="13"/>
      <c r="K697" s="13"/>
      <c r="L697" s="13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2"/>
      <c r="J698" s="13"/>
      <c r="K698" s="13"/>
      <c r="L698" s="13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2"/>
      <c r="J699" s="13"/>
      <c r="K699" s="13"/>
      <c r="L699" s="13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2"/>
      <c r="J700" s="13"/>
      <c r="K700" s="13"/>
      <c r="L700" s="13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2"/>
      <c r="J701" s="13"/>
      <c r="K701" s="13"/>
      <c r="L701" s="13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2"/>
      <c r="J702" s="13"/>
      <c r="K702" s="13"/>
      <c r="L702" s="13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2"/>
      <c r="J703" s="13"/>
      <c r="K703" s="13"/>
      <c r="L703" s="13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2"/>
      <c r="J704" s="13"/>
      <c r="K704" s="13"/>
      <c r="L704" s="13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2"/>
      <c r="J705" s="13"/>
      <c r="K705" s="13"/>
      <c r="L705" s="13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2"/>
      <c r="J706" s="13"/>
      <c r="K706" s="13"/>
      <c r="L706" s="13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2"/>
      <c r="J707" s="13"/>
      <c r="K707" s="13"/>
      <c r="L707" s="13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2"/>
      <c r="J708" s="13"/>
      <c r="K708" s="13"/>
      <c r="L708" s="13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2"/>
      <c r="J709" s="13"/>
      <c r="K709" s="13"/>
      <c r="L709" s="13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2"/>
      <c r="J710" s="13"/>
      <c r="K710" s="13"/>
      <c r="L710" s="13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2"/>
      <c r="J711" s="13"/>
      <c r="K711" s="13"/>
      <c r="L711" s="13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2"/>
      <c r="J712" s="13"/>
      <c r="K712" s="13"/>
      <c r="L712" s="13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2"/>
      <c r="J713" s="13"/>
      <c r="K713" s="13"/>
      <c r="L713" s="13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2"/>
      <c r="J714" s="13"/>
      <c r="K714" s="13"/>
      <c r="L714" s="13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2"/>
      <c r="J715" s="13"/>
      <c r="K715" s="13"/>
      <c r="L715" s="13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2"/>
      <c r="J716" s="13"/>
      <c r="K716" s="13"/>
      <c r="L716" s="13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2"/>
      <c r="J717" s="13"/>
      <c r="K717" s="13"/>
      <c r="L717" s="13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2"/>
      <c r="J718" s="13"/>
      <c r="K718" s="13"/>
      <c r="L718" s="13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2"/>
      <c r="J719" s="13"/>
      <c r="K719" s="13"/>
      <c r="L719" s="13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2"/>
      <c r="J720" s="13"/>
      <c r="K720" s="13"/>
      <c r="L720" s="13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2"/>
      <c r="J721" s="13"/>
      <c r="K721" s="13"/>
      <c r="L721" s="13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2"/>
      <c r="J722" s="13"/>
      <c r="K722" s="13"/>
      <c r="L722" s="13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2"/>
      <c r="J723" s="13"/>
      <c r="K723" s="13"/>
      <c r="L723" s="13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2"/>
      <c r="J724" s="13"/>
      <c r="K724" s="13"/>
      <c r="L724" s="13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2"/>
      <c r="J725" s="13"/>
      <c r="K725" s="13"/>
      <c r="L725" s="13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2"/>
      <c r="J726" s="13"/>
      <c r="K726" s="13"/>
      <c r="L726" s="13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2"/>
      <c r="J727" s="13"/>
      <c r="K727" s="13"/>
      <c r="L727" s="13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2"/>
      <c r="J728" s="13"/>
      <c r="K728" s="13"/>
      <c r="L728" s="13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2"/>
      <c r="J729" s="13"/>
      <c r="K729" s="13"/>
      <c r="L729" s="13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2"/>
      <c r="J730" s="13"/>
      <c r="K730" s="13"/>
      <c r="L730" s="13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2"/>
      <c r="J731" s="13"/>
      <c r="K731" s="13"/>
      <c r="L731" s="13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2"/>
      <c r="J732" s="13"/>
      <c r="K732" s="13"/>
      <c r="L732" s="13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2"/>
      <c r="J733" s="13"/>
      <c r="K733" s="13"/>
      <c r="L733" s="13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2"/>
      <c r="J734" s="13"/>
      <c r="K734" s="13"/>
      <c r="L734" s="13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2"/>
      <c r="J735" s="13"/>
      <c r="K735" s="13"/>
      <c r="L735" s="13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2"/>
      <c r="J736" s="13"/>
      <c r="K736" s="13"/>
      <c r="L736" s="13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2"/>
      <c r="J737" s="13"/>
      <c r="K737" s="13"/>
      <c r="L737" s="13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2"/>
      <c r="J738" s="13"/>
      <c r="K738" s="13"/>
      <c r="L738" s="13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2"/>
      <c r="J739" s="13"/>
      <c r="K739" s="13"/>
      <c r="L739" s="13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2"/>
      <c r="J740" s="13"/>
      <c r="K740" s="13"/>
      <c r="L740" s="13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2"/>
      <c r="J741" s="13"/>
      <c r="K741" s="13"/>
      <c r="L741" s="13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2"/>
      <c r="J742" s="13"/>
      <c r="K742" s="13"/>
      <c r="L742" s="13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2"/>
      <c r="J743" s="13"/>
      <c r="K743" s="13"/>
      <c r="L743" s="13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2"/>
      <c r="J744" s="13"/>
      <c r="K744" s="13"/>
      <c r="L744" s="13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2"/>
      <c r="J745" s="13"/>
      <c r="K745" s="13"/>
      <c r="L745" s="13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2"/>
      <c r="J746" s="13"/>
      <c r="K746" s="13"/>
      <c r="L746" s="13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2"/>
      <c r="J747" s="13"/>
      <c r="K747" s="13"/>
      <c r="L747" s="13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2"/>
      <c r="J748" s="13"/>
      <c r="K748" s="13"/>
      <c r="L748" s="13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2"/>
      <c r="J749" s="13"/>
      <c r="K749" s="13"/>
      <c r="L749" s="13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2"/>
      <c r="J750" s="13"/>
      <c r="K750" s="13"/>
      <c r="L750" s="13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2"/>
      <c r="J751" s="13"/>
      <c r="K751" s="13"/>
      <c r="L751" s="13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2"/>
      <c r="J752" s="13"/>
      <c r="K752" s="13"/>
      <c r="L752" s="13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2"/>
      <c r="J753" s="13"/>
      <c r="K753" s="13"/>
      <c r="L753" s="13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2"/>
      <c r="J754" s="13"/>
      <c r="K754" s="13"/>
      <c r="L754" s="13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2"/>
      <c r="J755" s="13"/>
      <c r="K755" s="13"/>
      <c r="L755" s="13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2"/>
      <c r="J756" s="13"/>
      <c r="K756" s="13"/>
      <c r="L756" s="13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2"/>
      <c r="J757" s="13"/>
      <c r="K757" s="13"/>
      <c r="L757" s="13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2"/>
      <c r="J758" s="13"/>
      <c r="K758" s="13"/>
      <c r="L758" s="13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2"/>
      <c r="J759" s="13"/>
      <c r="K759" s="13"/>
      <c r="L759" s="13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2"/>
      <c r="J760" s="13"/>
      <c r="K760" s="13"/>
      <c r="L760" s="13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2"/>
      <c r="J761" s="13"/>
      <c r="K761" s="13"/>
      <c r="L761" s="13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2"/>
      <c r="J762" s="13"/>
      <c r="K762" s="13"/>
      <c r="L762" s="13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2"/>
      <c r="J763" s="13"/>
      <c r="K763" s="13"/>
      <c r="L763" s="13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2"/>
      <c r="J764" s="13"/>
      <c r="K764" s="13"/>
      <c r="L764" s="13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2"/>
      <c r="J765" s="13"/>
      <c r="K765" s="13"/>
      <c r="L765" s="13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2"/>
      <c r="J766" s="13"/>
      <c r="K766" s="13"/>
      <c r="L766" s="13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2"/>
      <c r="J767" s="13"/>
      <c r="K767" s="13"/>
      <c r="L767" s="13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2"/>
      <c r="J768" s="13"/>
      <c r="K768" s="13"/>
      <c r="L768" s="13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2"/>
      <c r="J769" s="13"/>
      <c r="K769" s="13"/>
      <c r="L769" s="13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2"/>
      <c r="J770" s="13"/>
      <c r="K770" s="13"/>
      <c r="L770" s="13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2"/>
      <c r="J771" s="13"/>
      <c r="K771" s="13"/>
      <c r="L771" s="13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2"/>
      <c r="J772" s="13"/>
      <c r="K772" s="13"/>
      <c r="L772" s="13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2"/>
      <c r="J773" s="13"/>
      <c r="K773" s="13"/>
      <c r="L773" s="13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2"/>
      <c r="J774" s="13"/>
      <c r="K774" s="13"/>
      <c r="L774" s="13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2"/>
      <c r="J775" s="13"/>
      <c r="K775" s="13"/>
      <c r="L775" s="13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2"/>
      <c r="J776" s="13"/>
      <c r="K776" s="13"/>
      <c r="L776" s="13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2"/>
      <c r="J777" s="13"/>
      <c r="K777" s="13"/>
      <c r="L777" s="13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2"/>
      <c r="J778" s="13"/>
      <c r="K778" s="13"/>
      <c r="L778" s="13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2"/>
      <c r="J779" s="13"/>
      <c r="K779" s="13"/>
      <c r="L779" s="13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2"/>
      <c r="J780" s="13"/>
      <c r="K780" s="13"/>
      <c r="L780" s="13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2"/>
      <c r="J781" s="13"/>
      <c r="K781" s="13"/>
      <c r="L781" s="13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2"/>
      <c r="J782" s="13"/>
      <c r="K782" s="13"/>
      <c r="L782" s="13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2"/>
      <c r="J783" s="13"/>
      <c r="K783" s="13"/>
      <c r="L783" s="13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2"/>
      <c r="J784" s="13"/>
      <c r="K784" s="13"/>
      <c r="L784" s="13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2"/>
      <c r="J785" s="13"/>
      <c r="K785" s="13"/>
      <c r="L785" s="13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2"/>
      <c r="J786" s="13"/>
      <c r="K786" s="13"/>
      <c r="L786" s="13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2"/>
      <c r="J787" s="13"/>
      <c r="K787" s="13"/>
      <c r="L787" s="13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2"/>
      <c r="J788" s="13"/>
      <c r="K788" s="13"/>
      <c r="L788" s="13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2"/>
      <c r="J789" s="13"/>
      <c r="K789" s="13"/>
      <c r="L789" s="13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2"/>
      <c r="J790" s="13"/>
      <c r="K790" s="13"/>
      <c r="L790" s="13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2"/>
      <c r="J791" s="13"/>
      <c r="K791" s="13"/>
      <c r="L791" s="13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2"/>
      <c r="J792" s="13"/>
      <c r="K792" s="13"/>
      <c r="L792" s="13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2"/>
      <c r="J793" s="13"/>
      <c r="K793" s="13"/>
      <c r="L793" s="13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2"/>
      <c r="J794" s="13"/>
      <c r="K794" s="13"/>
      <c r="L794" s="13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2"/>
      <c r="J795" s="13"/>
      <c r="K795" s="13"/>
      <c r="L795" s="13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2"/>
      <c r="J796" s="13"/>
      <c r="K796" s="13"/>
      <c r="L796" s="13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2"/>
      <c r="J797" s="13"/>
      <c r="K797" s="13"/>
      <c r="L797" s="13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2"/>
      <c r="J798" s="13"/>
      <c r="K798" s="13"/>
      <c r="L798" s="13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2"/>
      <c r="J799" s="13"/>
      <c r="K799" s="13"/>
      <c r="L799" s="13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2"/>
      <c r="J800" s="13"/>
      <c r="K800" s="13"/>
      <c r="L800" s="13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2"/>
      <c r="J801" s="13"/>
      <c r="K801" s="13"/>
      <c r="L801" s="13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2"/>
      <c r="J802" s="13"/>
      <c r="K802" s="13"/>
      <c r="L802" s="13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2"/>
      <c r="J803" s="13"/>
      <c r="K803" s="13"/>
      <c r="L803" s="13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2"/>
      <c r="J804" s="13"/>
      <c r="K804" s="13"/>
      <c r="L804" s="13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2"/>
      <c r="J805" s="13"/>
      <c r="K805" s="13"/>
      <c r="L805" s="13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1"/>
      <c r="M816" s="1"/>
      <c r="N816" s="1"/>
      <c r="O816" s="1"/>
      <c r="P816" s="1"/>
      <c r="Q816" s="1"/>
      <c r="R816" s="1"/>
      <c r="S816" s="1"/>
      <c r="T816" s="1"/>
      <c r="U816" s="1"/>
    </row>
  </sheetData>
  <pageMargins left="0.78749999999999998" right="0.78749999999999998" top="1.0249999999999999" bottom="1.0249999999999999" header="0" footer="0"/>
  <pageSetup orientation="portrait" r:id="rId1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998"/>
  <sheetViews>
    <sheetView topLeftCell="A8" zoomScale="156" zoomScaleNormal="156" workbookViewId="0">
      <selection activeCell="D10" sqref="D10"/>
    </sheetView>
  </sheetViews>
  <sheetFormatPr baseColWidth="10" defaultColWidth="14.5" defaultRowHeight="11" x14ac:dyDescent="0.15"/>
  <cols>
    <col min="1" max="1" width="3" style="450" customWidth="1"/>
    <col min="2" max="2" width="9.33203125" style="450" hidden="1" customWidth="1"/>
    <col min="3" max="3" width="21" style="450" customWidth="1"/>
    <col min="4" max="4" width="10.5" style="450" customWidth="1"/>
    <col min="5" max="5" width="7.33203125" style="450" customWidth="1"/>
    <col min="6" max="6" width="10" style="450" customWidth="1"/>
    <col min="7" max="7" width="6.6640625" style="450" customWidth="1"/>
    <col min="8" max="8" width="10.5" style="450" customWidth="1"/>
    <col min="9" max="9" width="11" style="450" customWidth="1"/>
    <col min="10" max="19" width="11.5" style="450" customWidth="1"/>
    <col min="20" max="16384" width="14.5" style="450"/>
  </cols>
  <sheetData>
    <row r="1" spans="1:19" x14ac:dyDescent="0.15">
      <c r="A1" s="448"/>
      <c r="C1" s="448" t="s">
        <v>670</v>
      </c>
      <c r="D1" s="449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</row>
    <row r="2" spans="1:19" ht="39" x14ac:dyDescent="0.15">
      <c r="A2" s="448"/>
      <c r="B2" s="971" t="s">
        <v>516</v>
      </c>
      <c r="C2" s="971" t="s">
        <v>517</v>
      </c>
      <c r="D2" s="971" t="s">
        <v>518</v>
      </c>
      <c r="E2" s="971" t="s">
        <v>519</v>
      </c>
      <c r="F2" s="971" t="s">
        <v>520</v>
      </c>
      <c r="G2" s="971" t="s">
        <v>521</v>
      </c>
      <c r="H2" s="971" t="s">
        <v>170</v>
      </c>
      <c r="I2" s="971" t="s">
        <v>660</v>
      </c>
      <c r="J2" s="448"/>
      <c r="K2" s="448"/>
      <c r="L2" s="448"/>
      <c r="M2" s="448"/>
      <c r="N2" s="448"/>
      <c r="O2" s="448"/>
      <c r="P2" s="448"/>
      <c r="Q2" s="448"/>
      <c r="R2" s="448"/>
      <c r="S2" s="448"/>
    </row>
    <row r="3" spans="1:19" ht="15" customHeight="1" x14ac:dyDescent="0.15">
      <c r="A3" s="448"/>
      <c r="B3" s="1019" t="s">
        <v>1166</v>
      </c>
      <c r="C3" s="1020"/>
      <c r="D3" s="1020"/>
      <c r="E3" s="1020"/>
      <c r="F3" s="1020"/>
      <c r="G3" s="1020"/>
      <c r="H3" s="1020"/>
      <c r="I3" s="1021"/>
      <c r="J3" s="448"/>
      <c r="K3" s="448"/>
      <c r="L3" s="448"/>
      <c r="M3" s="448"/>
      <c r="N3" s="448"/>
      <c r="O3" s="448"/>
      <c r="P3" s="448"/>
      <c r="Q3" s="448"/>
      <c r="R3" s="448"/>
      <c r="S3" s="448"/>
    </row>
    <row r="4" spans="1:19" ht="12" x14ac:dyDescent="0.15">
      <c r="A4" s="448"/>
      <c r="B4" s="630"/>
      <c r="C4" s="630"/>
      <c r="D4" s="631"/>
      <c r="E4" s="632"/>
      <c r="F4" s="632"/>
      <c r="G4" s="632"/>
      <c r="H4" s="632"/>
      <c r="I4" s="632"/>
      <c r="J4" s="448"/>
      <c r="K4" s="448"/>
      <c r="L4" s="448"/>
      <c r="M4" s="448"/>
      <c r="N4" s="448"/>
      <c r="O4" s="448"/>
      <c r="P4" s="448"/>
      <c r="Q4" s="448"/>
      <c r="R4" s="448"/>
      <c r="S4" s="448"/>
    </row>
    <row r="5" spans="1:19" ht="62" customHeight="1" x14ac:dyDescent="0.15">
      <c r="A5" s="448"/>
      <c r="B5" s="630"/>
      <c r="C5" s="630" t="s">
        <v>1150</v>
      </c>
      <c r="D5" s="987">
        <v>90000</v>
      </c>
      <c r="E5" s="976">
        <f>+F5/D5</f>
        <v>0.46288888888888891</v>
      </c>
      <c r="F5" s="987">
        <v>41660</v>
      </c>
      <c r="G5" s="976">
        <f>+(F5-D5)/D5</f>
        <v>-0.53711111111111109</v>
      </c>
      <c r="H5" s="630" t="s">
        <v>1169</v>
      </c>
      <c r="I5" s="630" t="s">
        <v>1171</v>
      </c>
      <c r="J5" s="448"/>
      <c r="K5" s="448"/>
      <c r="L5" s="448"/>
      <c r="M5" s="448"/>
      <c r="N5" s="448"/>
      <c r="O5" s="448"/>
      <c r="P5" s="448"/>
      <c r="Q5" s="448"/>
      <c r="R5" s="448"/>
      <c r="S5" s="448"/>
    </row>
    <row r="6" spans="1:19" ht="92" customHeight="1" x14ac:dyDescent="0.15">
      <c r="A6" s="448"/>
      <c r="B6" s="630"/>
      <c r="C6" s="630" t="s">
        <v>1165</v>
      </c>
      <c r="D6" s="987">
        <v>120000</v>
      </c>
      <c r="E6" s="634">
        <f>+F6/D6</f>
        <v>0.19617499999999999</v>
      </c>
      <c r="F6" s="987">
        <v>23541</v>
      </c>
      <c r="G6" s="634">
        <f>+(F6-D6)/D6</f>
        <v>-0.80382500000000001</v>
      </c>
      <c r="H6" s="630" t="s">
        <v>1169</v>
      </c>
      <c r="I6" s="630" t="s">
        <v>1170</v>
      </c>
      <c r="J6" s="448"/>
      <c r="K6" s="448"/>
      <c r="L6" s="448"/>
      <c r="M6" s="448"/>
      <c r="N6" s="448"/>
      <c r="O6" s="448"/>
      <c r="P6" s="448"/>
      <c r="Q6" s="448"/>
      <c r="R6" s="448"/>
      <c r="S6" s="448"/>
    </row>
    <row r="7" spans="1:19" ht="12" x14ac:dyDescent="0.15">
      <c r="A7" s="448"/>
      <c r="B7" s="630"/>
      <c r="C7" s="630"/>
      <c r="D7" s="633"/>
      <c r="E7" s="634"/>
      <c r="F7" s="633"/>
      <c r="G7" s="635"/>
      <c r="H7" s="632"/>
      <c r="I7" s="632"/>
      <c r="J7" s="448"/>
      <c r="K7" s="448"/>
      <c r="L7" s="448"/>
      <c r="M7" s="448"/>
      <c r="N7" s="448"/>
      <c r="O7" s="448"/>
      <c r="P7" s="448"/>
      <c r="Q7" s="448"/>
      <c r="R7" s="448"/>
      <c r="S7" s="448"/>
    </row>
    <row r="8" spans="1:19" ht="13.5" customHeight="1" x14ac:dyDescent="0.15">
      <c r="A8" s="448"/>
      <c r="B8" s="1018" t="s">
        <v>839</v>
      </c>
      <c r="C8" s="1018"/>
      <c r="D8" s="1018"/>
      <c r="E8" s="1018"/>
      <c r="F8" s="1018"/>
      <c r="G8" s="1018"/>
      <c r="H8" s="1018"/>
      <c r="I8" s="1018"/>
      <c r="J8" s="448"/>
      <c r="K8" s="448"/>
      <c r="L8" s="448"/>
      <c r="M8" s="448"/>
      <c r="N8" s="448"/>
      <c r="O8" s="448"/>
      <c r="P8" s="448"/>
      <c r="Q8" s="448"/>
      <c r="R8" s="448"/>
      <c r="S8" s="448"/>
    </row>
    <row r="9" spans="1:19" ht="39" x14ac:dyDescent="0.15">
      <c r="A9" s="448"/>
      <c r="B9" s="630"/>
      <c r="C9" s="630" t="s">
        <v>1148</v>
      </c>
      <c r="D9" s="987">
        <v>24400</v>
      </c>
      <c r="E9" s="634"/>
      <c r="F9" s="987">
        <v>0</v>
      </c>
      <c r="G9" s="635"/>
      <c r="H9" s="630" t="s">
        <v>1172</v>
      </c>
      <c r="I9" s="632"/>
      <c r="J9" s="448"/>
      <c r="K9" s="448"/>
      <c r="L9" s="448"/>
      <c r="M9" s="448"/>
      <c r="N9" s="448"/>
      <c r="O9" s="448"/>
      <c r="P9" s="448"/>
      <c r="Q9" s="448"/>
      <c r="R9" s="448"/>
      <c r="S9" s="448"/>
    </row>
    <row r="10" spans="1:19" ht="39" x14ac:dyDescent="0.15">
      <c r="A10" s="448"/>
      <c r="B10" s="630"/>
      <c r="C10" s="630" t="s">
        <v>674</v>
      </c>
      <c r="D10" s="987">
        <v>4500</v>
      </c>
      <c r="E10" s="634"/>
      <c r="F10" s="987">
        <v>0</v>
      </c>
      <c r="G10" s="635"/>
      <c r="H10" s="630" t="s">
        <v>1172</v>
      </c>
      <c r="I10" s="632"/>
      <c r="J10" s="448"/>
      <c r="K10" s="448"/>
      <c r="L10" s="448"/>
      <c r="M10" s="448"/>
      <c r="N10" s="448"/>
      <c r="O10" s="448"/>
      <c r="P10" s="448"/>
      <c r="Q10" s="448"/>
      <c r="R10" s="448"/>
      <c r="S10" s="448"/>
    </row>
    <row r="11" spans="1:19" ht="12" x14ac:dyDescent="0.15">
      <c r="A11" s="448"/>
      <c r="B11" s="630"/>
      <c r="C11" s="630"/>
      <c r="D11" s="633"/>
      <c r="E11" s="634"/>
      <c r="F11" s="633"/>
      <c r="G11" s="634"/>
      <c r="H11" s="632"/>
      <c r="I11" s="632"/>
      <c r="J11" s="448"/>
      <c r="K11" s="448"/>
      <c r="L11" s="448"/>
      <c r="M11" s="448"/>
      <c r="N11" s="448"/>
      <c r="O11" s="448"/>
      <c r="P11" s="448"/>
      <c r="Q11" s="448"/>
      <c r="R11" s="448"/>
      <c r="S11" s="448"/>
    </row>
    <row r="12" spans="1:19" ht="14.25" customHeight="1" x14ac:dyDescent="0.15">
      <c r="A12" s="448"/>
      <c r="B12" s="636"/>
      <c r="C12" s="1022" t="s">
        <v>840</v>
      </c>
      <c r="D12" s="1022"/>
      <c r="E12" s="1022"/>
      <c r="F12" s="1022"/>
      <c r="G12" s="1022"/>
      <c r="H12" s="1022"/>
      <c r="I12" s="1022"/>
      <c r="J12" s="448"/>
      <c r="K12" s="448"/>
      <c r="L12" s="448"/>
      <c r="M12" s="448"/>
      <c r="N12" s="448"/>
      <c r="O12" s="448"/>
      <c r="P12" s="448"/>
      <c r="Q12" s="448"/>
      <c r="R12" s="448"/>
      <c r="S12" s="448"/>
    </row>
    <row r="13" spans="1:19" ht="122" customHeight="1" x14ac:dyDescent="0.15">
      <c r="A13" s="448"/>
      <c r="B13" s="630"/>
      <c r="C13" s="637" t="s">
        <v>671</v>
      </c>
      <c r="D13" s="987">
        <v>238900</v>
      </c>
      <c r="E13" s="634">
        <v>1</v>
      </c>
      <c r="F13" s="987">
        <v>216566</v>
      </c>
      <c r="G13" s="976">
        <f>+(F13-D13)/D13</f>
        <v>-9.3486814566764331E-2</v>
      </c>
      <c r="H13" s="975" t="s">
        <v>1146</v>
      </c>
      <c r="I13" s="974" t="s">
        <v>1147</v>
      </c>
      <c r="J13" s="448"/>
      <c r="K13" s="448"/>
      <c r="L13" s="448"/>
      <c r="M13" s="448"/>
      <c r="N13" s="448"/>
      <c r="O13" s="448"/>
      <c r="P13" s="448"/>
      <c r="Q13" s="448"/>
      <c r="R13" s="448"/>
      <c r="S13" s="448"/>
    </row>
    <row r="14" spans="1:19" ht="91" x14ac:dyDescent="0.15">
      <c r="A14" s="448"/>
      <c r="B14" s="630"/>
      <c r="C14" s="630" t="s">
        <v>1149</v>
      </c>
      <c r="D14" s="987">
        <v>18300</v>
      </c>
      <c r="E14" s="634">
        <v>1</v>
      </c>
      <c r="F14" s="987">
        <v>9526</v>
      </c>
      <c r="G14" s="634">
        <f>+(F14-D14)/D14</f>
        <v>-0.47945355191256833</v>
      </c>
      <c r="H14" s="975" t="s">
        <v>1167</v>
      </c>
      <c r="I14" s="974" t="s">
        <v>1168</v>
      </c>
      <c r="J14" s="448"/>
      <c r="K14" s="448"/>
      <c r="L14" s="448"/>
      <c r="M14" s="448"/>
      <c r="N14" s="448"/>
      <c r="O14" s="448"/>
      <c r="P14" s="448"/>
      <c r="Q14" s="448"/>
      <c r="R14" s="448"/>
      <c r="S14" s="448"/>
    </row>
    <row r="15" spans="1:19" ht="13" x14ac:dyDescent="0.15">
      <c r="A15" s="448"/>
      <c r="B15" s="638"/>
      <c r="C15" s="971" t="s">
        <v>29</v>
      </c>
      <c r="D15" s="988">
        <f>+D5+D6+D7+D9+D10+D11+D13+D14</f>
        <v>496100</v>
      </c>
      <c r="E15" s="988"/>
      <c r="F15" s="988">
        <f t="shared" ref="F15" si="0">+F5+F6+F7+F9+F10+F11+F13+F14</f>
        <v>291293</v>
      </c>
      <c r="G15" s="972"/>
      <c r="H15" s="973"/>
      <c r="I15" s="973"/>
      <c r="J15" s="448"/>
      <c r="K15" s="448"/>
      <c r="L15" s="448"/>
      <c r="M15" s="448"/>
      <c r="N15" s="448"/>
      <c r="O15" s="448"/>
      <c r="P15" s="448"/>
      <c r="Q15" s="448"/>
      <c r="R15" s="448"/>
      <c r="S15" s="448"/>
    </row>
    <row r="16" spans="1:19" x14ac:dyDescent="0.15">
      <c r="A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</row>
    <row r="17" spans="1:19" x14ac:dyDescent="0.15">
      <c r="A17" s="448"/>
      <c r="B17" s="453"/>
      <c r="C17" s="453"/>
      <c r="D17" s="451"/>
      <c r="E17" s="454"/>
      <c r="F17" s="451"/>
      <c r="G17" s="454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</row>
    <row r="18" spans="1:19" x14ac:dyDescent="0.15">
      <c r="A18" s="448"/>
      <c r="B18" s="453"/>
      <c r="C18" s="453"/>
      <c r="D18" s="451"/>
      <c r="E18" s="454"/>
      <c r="F18" s="451"/>
      <c r="G18" s="454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</row>
    <row r="19" spans="1:19" x14ac:dyDescent="0.15">
      <c r="A19" s="448"/>
      <c r="B19" s="453"/>
      <c r="C19" s="453"/>
      <c r="D19" s="451"/>
      <c r="E19" s="454"/>
      <c r="F19" s="451"/>
      <c r="G19" s="454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</row>
    <row r="20" spans="1:19" x14ac:dyDescent="0.15">
      <c r="A20" s="448"/>
      <c r="B20" s="453"/>
      <c r="C20" s="453"/>
      <c r="D20" s="451"/>
      <c r="E20" s="454"/>
      <c r="F20" s="451"/>
      <c r="G20" s="454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</row>
    <row r="21" spans="1:19" x14ac:dyDescent="0.15">
      <c r="A21" s="448"/>
      <c r="B21" s="448"/>
      <c r="C21" s="453"/>
      <c r="D21" s="452"/>
      <c r="E21" s="454"/>
      <c r="F21" s="452"/>
      <c r="G21" s="454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</row>
    <row r="22" spans="1:19" x14ac:dyDescent="0.15">
      <c r="A22" s="448"/>
      <c r="B22" s="448"/>
      <c r="C22" s="453"/>
      <c r="D22" s="452"/>
      <c r="E22" s="454"/>
      <c r="F22" s="452"/>
      <c r="G22" s="454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</row>
    <row r="23" spans="1:19" x14ac:dyDescent="0.15">
      <c r="A23" s="448"/>
      <c r="B23" s="453"/>
      <c r="C23" s="448"/>
      <c r="D23" s="448"/>
      <c r="E23" s="454"/>
      <c r="F23" s="448"/>
      <c r="G23" s="454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</row>
    <row r="24" spans="1:19" x14ac:dyDescent="0.15">
      <c r="A24" s="448"/>
      <c r="B24" s="453"/>
      <c r="C24" s="453"/>
      <c r="D24" s="452"/>
      <c r="E24" s="454"/>
      <c r="F24" s="452"/>
      <c r="G24" s="454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</row>
    <row r="25" spans="1:19" x14ac:dyDescent="0.15">
      <c r="A25" s="448"/>
      <c r="B25" s="453"/>
      <c r="C25" s="453"/>
      <c r="D25" s="452"/>
      <c r="E25" s="454"/>
      <c r="F25" s="452"/>
      <c r="G25" s="454"/>
      <c r="H25" s="453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</row>
    <row r="26" spans="1:19" x14ac:dyDescent="0.15">
      <c r="A26" s="448"/>
      <c r="B26" s="453"/>
      <c r="C26" s="453"/>
      <c r="D26" s="452"/>
      <c r="E26" s="454"/>
      <c r="F26" s="452"/>
      <c r="G26" s="454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</row>
    <row r="27" spans="1:19" x14ac:dyDescent="0.15">
      <c r="A27" s="448"/>
      <c r="B27" s="453"/>
      <c r="C27" s="453"/>
      <c r="D27" s="452"/>
      <c r="E27" s="454"/>
      <c r="F27" s="452"/>
      <c r="G27" s="454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</row>
    <row r="28" spans="1:19" x14ac:dyDescent="0.15">
      <c r="A28" s="448"/>
      <c r="B28" s="448"/>
      <c r="C28" s="453"/>
      <c r="D28" s="452"/>
      <c r="E28" s="454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</row>
    <row r="29" spans="1:19" x14ac:dyDescent="0.15">
      <c r="A29" s="448"/>
      <c r="B29" s="448"/>
      <c r="C29" s="448"/>
      <c r="D29" s="449"/>
      <c r="E29" s="448"/>
      <c r="F29" s="452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</row>
    <row r="30" spans="1:19" x14ac:dyDescent="0.15">
      <c r="A30" s="448"/>
      <c r="B30" s="448"/>
      <c r="C30" s="448"/>
      <c r="D30" s="452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</row>
    <row r="31" spans="1:19" x14ac:dyDescent="0.15">
      <c r="A31" s="448"/>
      <c r="B31" s="448"/>
      <c r="D31" s="452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</row>
    <row r="32" spans="1:19" x14ac:dyDescent="0.15">
      <c r="A32" s="448"/>
      <c r="B32" s="448"/>
      <c r="C32" s="448"/>
      <c r="D32" s="452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</row>
    <row r="33" spans="1:19" x14ac:dyDescent="0.15">
      <c r="A33" s="448"/>
      <c r="B33" s="448"/>
      <c r="C33" s="448"/>
      <c r="D33" s="452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</row>
    <row r="34" spans="1:19" x14ac:dyDescent="0.15">
      <c r="A34" s="448"/>
      <c r="B34" s="448"/>
      <c r="C34" s="448"/>
      <c r="D34" s="452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</row>
    <row r="35" spans="1:19" x14ac:dyDescent="0.15">
      <c r="A35" s="448"/>
      <c r="B35" s="448"/>
      <c r="C35" s="448"/>
      <c r="D35" s="452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</row>
    <row r="36" spans="1:19" x14ac:dyDescent="0.15">
      <c r="A36" s="448"/>
      <c r="B36" s="448"/>
      <c r="C36" s="448"/>
      <c r="D36" s="452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</row>
    <row r="37" spans="1:19" x14ac:dyDescent="0.15">
      <c r="A37" s="448"/>
      <c r="B37" s="448"/>
      <c r="C37" s="448"/>
      <c r="D37" s="452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</row>
    <row r="38" spans="1:19" x14ac:dyDescent="0.15">
      <c r="A38" s="448"/>
      <c r="B38" s="448"/>
      <c r="C38" s="448"/>
      <c r="D38" s="452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</row>
    <row r="39" spans="1:19" x14ac:dyDescent="0.15">
      <c r="A39" s="448"/>
      <c r="B39" s="448"/>
      <c r="C39" s="448"/>
      <c r="D39" s="452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</row>
    <row r="40" spans="1:19" x14ac:dyDescent="0.15">
      <c r="A40" s="448"/>
      <c r="B40" s="448"/>
      <c r="C40" s="448"/>
      <c r="D40" s="452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</row>
    <row r="41" spans="1:19" x14ac:dyDescent="0.15">
      <c r="A41" s="448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</row>
    <row r="42" spans="1:19" x14ac:dyDescent="0.15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</row>
    <row r="43" spans="1:19" x14ac:dyDescent="0.15">
      <c r="A43" s="448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</row>
    <row r="44" spans="1:19" x14ac:dyDescent="0.15">
      <c r="A44" s="448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</row>
    <row r="45" spans="1:19" x14ac:dyDescent="0.15">
      <c r="A45" s="448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</row>
    <row r="46" spans="1:19" x14ac:dyDescent="0.15">
      <c r="A46" s="448"/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</row>
    <row r="47" spans="1:19" x14ac:dyDescent="0.15">
      <c r="A47" s="448"/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</row>
    <row r="48" spans="1:19" x14ac:dyDescent="0.15">
      <c r="A48" s="448"/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</row>
    <row r="49" spans="1:19" x14ac:dyDescent="0.15">
      <c r="A49" s="448"/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</row>
    <row r="50" spans="1:19" x14ac:dyDescent="0.15">
      <c r="A50" s="448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</row>
    <row r="51" spans="1:19" x14ac:dyDescent="0.15">
      <c r="A51" s="448"/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</row>
    <row r="52" spans="1:19" x14ac:dyDescent="0.15">
      <c r="A52" s="448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</row>
    <row r="53" spans="1:19" x14ac:dyDescent="0.15">
      <c r="A53" s="448"/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</row>
    <row r="54" spans="1:19" x14ac:dyDescent="0.15">
      <c r="A54" s="448"/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</row>
    <row r="55" spans="1:19" x14ac:dyDescent="0.15">
      <c r="A55" s="448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</row>
    <row r="56" spans="1:19" x14ac:dyDescent="0.15">
      <c r="A56" s="448"/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</row>
    <row r="57" spans="1:19" x14ac:dyDescent="0.15">
      <c r="A57" s="448"/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</row>
    <row r="58" spans="1:19" x14ac:dyDescent="0.15">
      <c r="A58" s="448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</row>
    <row r="59" spans="1:19" x14ac:dyDescent="0.15">
      <c r="A59" s="448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</row>
    <row r="60" spans="1:19" x14ac:dyDescent="0.15">
      <c r="A60" s="448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</row>
    <row r="61" spans="1:19" x14ac:dyDescent="0.15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</row>
    <row r="62" spans="1:19" x14ac:dyDescent="0.15">
      <c r="A62" s="448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</row>
    <row r="63" spans="1:19" x14ac:dyDescent="0.15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</row>
    <row r="64" spans="1:19" x14ac:dyDescent="0.15">
      <c r="A64" s="448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</row>
    <row r="65" spans="1:19" x14ac:dyDescent="0.15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</row>
    <row r="66" spans="1:19" x14ac:dyDescent="0.15">
      <c r="A66" s="448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</row>
    <row r="67" spans="1:19" x14ac:dyDescent="0.15">
      <c r="A67" s="448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</row>
    <row r="68" spans="1:19" x14ac:dyDescent="0.15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</row>
    <row r="69" spans="1:19" x14ac:dyDescent="0.15">
      <c r="A69" s="448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</row>
    <row r="70" spans="1:19" x14ac:dyDescent="0.15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</row>
    <row r="71" spans="1:19" x14ac:dyDescent="0.15">
      <c r="A71" s="448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</row>
    <row r="72" spans="1:19" x14ac:dyDescent="0.15">
      <c r="A72" s="448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</row>
    <row r="73" spans="1:19" x14ac:dyDescent="0.15">
      <c r="A73" s="448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</row>
    <row r="74" spans="1:19" x14ac:dyDescent="0.15">
      <c r="A74" s="448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</row>
    <row r="75" spans="1:19" x14ac:dyDescent="0.15">
      <c r="A75" s="448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</row>
    <row r="76" spans="1:19" x14ac:dyDescent="0.15">
      <c r="A76" s="448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</row>
    <row r="77" spans="1:19" x14ac:dyDescent="0.15">
      <c r="A77" s="448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</row>
    <row r="78" spans="1:19" x14ac:dyDescent="0.15">
      <c r="A78" s="448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</row>
    <row r="79" spans="1:19" x14ac:dyDescent="0.15">
      <c r="A79" s="448"/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</row>
    <row r="80" spans="1:19" x14ac:dyDescent="0.15">
      <c r="A80" s="448"/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</row>
    <row r="81" spans="1:19" x14ac:dyDescent="0.15">
      <c r="A81" s="448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</row>
    <row r="82" spans="1:19" x14ac:dyDescent="0.15">
      <c r="A82" s="448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</row>
    <row r="83" spans="1:19" x14ac:dyDescent="0.15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</row>
    <row r="84" spans="1:19" x14ac:dyDescent="0.15">
      <c r="A84" s="448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</row>
    <row r="85" spans="1:19" x14ac:dyDescent="0.15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</row>
    <row r="86" spans="1:19" x14ac:dyDescent="0.15">
      <c r="A86" s="448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</row>
    <row r="87" spans="1:19" x14ac:dyDescent="0.15">
      <c r="A87" s="448"/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</row>
    <row r="88" spans="1:19" x14ac:dyDescent="0.15">
      <c r="A88" s="448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</row>
    <row r="89" spans="1:19" x14ac:dyDescent="0.15">
      <c r="A89" s="448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</row>
    <row r="90" spans="1:19" x14ac:dyDescent="0.15">
      <c r="A90" s="448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</row>
    <row r="91" spans="1:19" x14ac:dyDescent="0.15">
      <c r="A91" s="448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</row>
    <row r="92" spans="1:19" x14ac:dyDescent="0.15">
      <c r="A92" s="448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</row>
    <row r="93" spans="1:19" x14ac:dyDescent="0.15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</row>
    <row r="94" spans="1:19" x14ac:dyDescent="0.15">
      <c r="A94" s="448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</row>
    <row r="95" spans="1:19" x14ac:dyDescent="0.15">
      <c r="A95" s="448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</row>
    <row r="96" spans="1:19" x14ac:dyDescent="0.15">
      <c r="A96" s="448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</row>
    <row r="97" spans="1:19" x14ac:dyDescent="0.15">
      <c r="A97" s="448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</row>
    <row r="98" spans="1:19" x14ac:dyDescent="0.15">
      <c r="A98" s="448"/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</row>
    <row r="99" spans="1:19" x14ac:dyDescent="0.15">
      <c r="A99" s="448"/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</row>
    <row r="100" spans="1:19" x14ac:dyDescent="0.15">
      <c r="A100" s="448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</row>
    <row r="101" spans="1:19" x14ac:dyDescent="0.15">
      <c r="A101" s="448"/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</row>
    <row r="102" spans="1:19" x14ac:dyDescent="0.15">
      <c r="A102" s="448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</row>
    <row r="103" spans="1:19" x14ac:dyDescent="0.15">
      <c r="A103" s="448"/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</row>
    <row r="104" spans="1:19" x14ac:dyDescent="0.15">
      <c r="A104" s="448"/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</row>
    <row r="105" spans="1:19" x14ac:dyDescent="0.15">
      <c r="A105" s="448"/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</row>
    <row r="106" spans="1:19" x14ac:dyDescent="0.15">
      <c r="A106" s="448"/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</row>
    <row r="107" spans="1:19" x14ac:dyDescent="0.15">
      <c r="A107" s="448"/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</row>
    <row r="108" spans="1:19" x14ac:dyDescent="0.15">
      <c r="A108" s="448"/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</row>
    <row r="109" spans="1:19" x14ac:dyDescent="0.15">
      <c r="A109" s="448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</row>
    <row r="110" spans="1:19" x14ac:dyDescent="0.15">
      <c r="A110" s="448"/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</row>
    <row r="111" spans="1:19" x14ac:dyDescent="0.15">
      <c r="A111" s="448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</row>
    <row r="112" spans="1:19" x14ac:dyDescent="0.15">
      <c r="A112" s="448"/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</row>
    <row r="113" spans="1:19" x14ac:dyDescent="0.15">
      <c r="A113" s="448"/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</row>
    <row r="114" spans="1:19" x14ac:dyDescent="0.15">
      <c r="A114" s="448"/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</row>
    <row r="115" spans="1:19" x14ac:dyDescent="0.15">
      <c r="A115" s="448"/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</row>
    <row r="116" spans="1:19" x14ac:dyDescent="0.15">
      <c r="A116" s="448"/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</row>
    <row r="117" spans="1:19" x14ac:dyDescent="0.15">
      <c r="A117" s="448"/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</row>
    <row r="118" spans="1:19" x14ac:dyDescent="0.15">
      <c r="A118" s="448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</row>
    <row r="119" spans="1:19" x14ac:dyDescent="0.15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</row>
    <row r="120" spans="1:19" x14ac:dyDescent="0.15">
      <c r="A120" s="448"/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</row>
    <row r="121" spans="1:19" x14ac:dyDescent="0.15">
      <c r="A121" s="448"/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</row>
    <row r="122" spans="1:19" x14ac:dyDescent="0.15">
      <c r="A122" s="448"/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</row>
    <row r="123" spans="1:19" x14ac:dyDescent="0.15">
      <c r="A123" s="448"/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</row>
    <row r="124" spans="1:19" x14ac:dyDescent="0.15">
      <c r="A124" s="448"/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</row>
    <row r="125" spans="1:19" x14ac:dyDescent="0.15">
      <c r="A125" s="448"/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</row>
    <row r="126" spans="1:19" x14ac:dyDescent="0.15">
      <c r="A126" s="448"/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</row>
    <row r="127" spans="1:19" x14ac:dyDescent="0.15">
      <c r="A127" s="448"/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</row>
    <row r="128" spans="1:19" x14ac:dyDescent="0.15">
      <c r="A128" s="448"/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</row>
    <row r="129" spans="1:19" x14ac:dyDescent="0.15">
      <c r="A129" s="448"/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</row>
    <row r="130" spans="1:19" x14ac:dyDescent="0.15">
      <c r="A130" s="448"/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</row>
    <row r="131" spans="1:19" x14ac:dyDescent="0.15">
      <c r="A131" s="448"/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</row>
    <row r="132" spans="1:19" x14ac:dyDescent="0.15">
      <c r="A132" s="448"/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</row>
    <row r="133" spans="1:19" x14ac:dyDescent="0.15">
      <c r="A133" s="448"/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</row>
    <row r="134" spans="1:19" x14ac:dyDescent="0.15">
      <c r="A134" s="448"/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</row>
    <row r="135" spans="1:19" x14ac:dyDescent="0.15">
      <c r="A135" s="448"/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</row>
    <row r="136" spans="1:19" x14ac:dyDescent="0.15">
      <c r="A136" s="448"/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448"/>
    </row>
    <row r="137" spans="1:19" x14ac:dyDescent="0.15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448"/>
    </row>
    <row r="138" spans="1:19" x14ac:dyDescent="0.15">
      <c r="A138" s="448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</row>
    <row r="139" spans="1:19" x14ac:dyDescent="0.15">
      <c r="A139" s="448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</row>
    <row r="140" spans="1:19" x14ac:dyDescent="0.15">
      <c r="A140" s="448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</row>
    <row r="141" spans="1:19" x14ac:dyDescent="0.15">
      <c r="A141" s="448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</row>
    <row r="142" spans="1:19" x14ac:dyDescent="0.15">
      <c r="A142" s="448"/>
      <c r="B142" s="448"/>
      <c r="C142" s="448"/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</row>
    <row r="143" spans="1:19" x14ac:dyDescent="0.15">
      <c r="A143" s="448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</row>
    <row r="144" spans="1:19" x14ac:dyDescent="0.15">
      <c r="A144" s="448"/>
      <c r="B144" s="448"/>
      <c r="C144" s="448"/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</row>
    <row r="145" spans="1:19" x14ac:dyDescent="0.15">
      <c r="A145" s="448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</row>
    <row r="146" spans="1:19" x14ac:dyDescent="0.15">
      <c r="A146" s="448"/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448"/>
    </row>
    <row r="147" spans="1:19" x14ac:dyDescent="0.15">
      <c r="A147" s="448"/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448"/>
    </row>
    <row r="148" spans="1:19" x14ac:dyDescent="0.15">
      <c r="A148" s="448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</row>
    <row r="149" spans="1:19" x14ac:dyDescent="0.15">
      <c r="A149" s="448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</row>
    <row r="150" spans="1:19" x14ac:dyDescent="0.15">
      <c r="A150" s="448"/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</row>
    <row r="151" spans="1:19" x14ac:dyDescent="0.15">
      <c r="A151" s="448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</row>
    <row r="152" spans="1:19" x14ac:dyDescent="0.15">
      <c r="A152" s="448"/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</row>
    <row r="153" spans="1:19" x14ac:dyDescent="0.15">
      <c r="A153" s="448"/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  <c r="S153" s="448"/>
    </row>
    <row r="154" spans="1:19" x14ac:dyDescent="0.15">
      <c r="A154" s="448"/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</row>
    <row r="155" spans="1:19" x14ac:dyDescent="0.15">
      <c r="A155" s="448"/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</row>
    <row r="156" spans="1:19" x14ac:dyDescent="0.15">
      <c r="A156" s="448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</row>
    <row r="157" spans="1:19" x14ac:dyDescent="0.15">
      <c r="A157" s="448"/>
      <c r="B157" s="448"/>
      <c r="C157" s="448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48"/>
      <c r="R157" s="448"/>
      <c r="S157" s="448"/>
    </row>
    <row r="158" spans="1:19" x14ac:dyDescent="0.15">
      <c r="A158" s="448"/>
      <c r="B158" s="448"/>
      <c r="C158" s="448"/>
      <c r="D158" s="448"/>
      <c r="E158" s="448"/>
      <c r="F158" s="448"/>
      <c r="G158" s="448"/>
      <c r="H158" s="448"/>
      <c r="I158" s="448"/>
      <c r="J158" s="448"/>
      <c r="K158" s="448"/>
      <c r="L158" s="448"/>
      <c r="M158" s="448"/>
      <c r="N158" s="448"/>
      <c r="O158" s="448"/>
      <c r="P158" s="448"/>
      <c r="Q158" s="448"/>
      <c r="R158" s="448"/>
      <c r="S158" s="448"/>
    </row>
    <row r="159" spans="1:19" x14ac:dyDescent="0.15">
      <c r="A159" s="448"/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</row>
    <row r="160" spans="1:19" x14ac:dyDescent="0.15">
      <c r="A160" s="448"/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  <c r="L160" s="448"/>
      <c r="M160" s="448"/>
      <c r="N160" s="448"/>
      <c r="O160" s="448"/>
      <c r="P160" s="448"/>
      <c r="Q160" s="448"/>
      <c r="R160" s="448"/>
      <c r="S160" s="448"/>
    </row>
    <row r="161" spans="1:19" x14ac:dyDescent="0.15">
      <c r="A161" s="448"/>
      <c r="B161" s="448"/>
      <c r="C161" s="448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48"/>
      <c r="R161" s="448"/>
      <c r="S161" s="448"/>
    </row>
    <row r="162" spans="1:19" x14ac:dyDescent="0.15">
      <c r="A162" s="448"/>
      <c r="B162" s="448"/>
      <c r="C162" s="448"/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</row>
    <row r="163" spans="1:19" x14ac:dyDescent="0.15">
      <c r="A163" s="448"/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</row>
    <row r="164" spans="1:19" x14ac:dyDescent="0.15">
      <c r="A164" s="448"/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</row>
    <row r="165" spans="1:19" x14ac:dyDescent="0.15">
      <c r="A165" s="448"/>
      <c r="B165" s="448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</row>
    <row r="166" spans="1:19" x14ac:dyDescent="0.15">
      <c r="A166" s="448"/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</row>
    <row r="167" spans="1:19" x14ac:dyDescent="0.15">
      <c r="A167" s="448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</row>
    <row r="168" spans="1:19" x14ac:dyDescent="0.15">
      <c r="A168" s="448"/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</row>
    <row r="169" spans="1:19" x14ac:dyDescent="0.15">
      <c r="A169" s="448"/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</row>
    <row r="170" spans="1:19" x14ac:dyDescent="0.15">
      <c r="A170" s="448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  <c r="S170" s="448"/>
    </row>
    <row r="171" spans="1:19" x14ac:dyDescent="0.15">
      <c r="A171" s="448"/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8"/>
      <c r="O171" s="448"/>
      <c r="P171" s="448"/>
      <c r="Q171" s="448"/>
      <c r="R171" s="448"/>
      <c r="S171" s="448"/>
    </row>
    <row r="172" spans="1:19" x14ac:dyDescent="0.15">
      <c r="A172" s="448"/>
      <c r="B172" s="448"/>
      <c r="C172" s="448"/>
      <c r="D172" s="448"/>
      <c r="E172" s="448"/>
      <c r="F172" s="448"/>
      <c r="G172" s="448"/>
      <c r="H172" s="448"/>
      <c r="I172" s="448"/>
      <c r="J172" s="448"/>
      <c r="K172" s="448"/>
      <c r="L172" s="448"/>
      <c r="M172" s="448"/>
      <c r="N172" s="448"/>
      <c r="O172" s="448"/>
      <c r="P172" s="448"/>
      <c r="Q172" s="448"/>
      <c r="R172" s="448"/>
      <c r="S172" s="448"/>
    </row>
    <row r="173" spans="1:19" x14ac:dyDescent="0.15">
      <c r="A173" s="448"/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8"/>
      <c r="P173" s="448"/>
      <c r="Q173" s="448"/>
      <c r="R173" s="448"/>
      <c r="S173" s="448"/>
    </row>
    <row r="174" spans="1:19" x14ac:dyDescent="0.15">
      <c r="A174" s="448"/>
      <c r="B174" s="448"/>
      <c r="C174" s="448"/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448"/>
      <c r="P174" s="448"/>
      <c r="Q174" s="448"/>
      <c r="R174" s="448"/>
      <c r="S174" s="448"/>
    </row>
    <row r="175" spans="1:19" x14ac:dyDescent="0.15">
      <c r="A175" s="448"/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</row>
    <row r="176" spans="1:19" x14ac:dyDescent="0.15">
      <c r="A176" s="448"/>
      <c r="B176" s="448"/>
      <c r="C176" s="448"/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</row>
    <row r="177" spans="1:19" x14ac:dyDescent="0.15">
      <c r="A177" s="448"/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</row>
    <row r="178" spans="1:19" x14ac:dyDescent="0.15">
      <c r="A178" s="448"/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</row>
    <row r="179" spans="1:19" x14ac:dyDescent="0.15">
      <c r="A179" s="448"/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</row>
    <row r="180" spans="1:19" x14ac:dyDescent="0.15">
      <c r="A180" s="448"/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</row>
    <row r="181" spans="1:19" x14ac:dyDescent="0.15">
      <c r="A181" s="448"/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</row>
    <row r="182" spans="1:19" x14ac:dyDescent="0.15">
      <c r="A182" s="448"/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</row>
    <row r="183" spans="1:19" x14ac:dyDescent="0.15">
      <c r="A183" s="448"/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48"/>
      <c r="R183" s="448"/>
      <c r="S183" s="448"/>
    </row>
    <row r="184" spans="1:19" x14ac:dyDescent="0.15">
      <c r="A184" s="448"/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448"/>
      <c r="P184" s="448"/>
      <c r="Q184" s="448"/>
      <c r="R184" s="448"/>
      <c r="S184" s="448"/>
    </row>
    <row r="185" spans="1:19" x14ac:dyDescent="0.15">
      <c r="A185" s="448"/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</row>
    <row r="186" spans="1:19" x14ac:dyDescent="0.15">
      <c r="A186" s="448"/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8"/>
      <c r="S186" s="448"/>
    </row>
    <row r="187" spans="1:19" x14ac:dyDescent="0.15">
      <c r="A187" s="448"/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</row>
    <row r="188" spans="1:19" x14ac:dyDescent="0.15">
      <c r="A188" s="448"/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  <c r="L188" s="448"/>
      <c r="M188" s="448"/>
      <c r="N188" s="448"/>
      <c r="O188" s="448"/>
      <c r="P188" s="448"/>
      <c r="Q188" s="448"/>
      <c r="R188" s="448"/>
      <c r="S188" s="448"/>
    </row>
    <row r="189" spans="1:19" x14ac:dyDescent="0.15">
      <c r="A189" s="448"/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48"/>
      <c r="R189" s="448"/>
      <c r="S189" s="448"/>
    </row>
    <row r="190" spans="1:19" x14ac:dyDescent="0.15">
      <c r="A190" s="448"/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</row>
    <row r="191" spans="1:19" x14ac:dyDescent="0.15">
      <c r="A191" s="448"/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</row>
    <row r="192" spans="1:19" x14ac:dyDescent="0.15">
      <c r="A192" s="448"/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  <c r="M192" s="448"/>
      <c r="N192" s="448"/>
      <c r="O192" s="448"/>
      <c r="P192" s="448"/>
      <c r="Q192" s="448"/>
      <c r="R192" s="448"/>
      <c r="S192" s="448"/>
    </row>
    <row r="193" spans="1:19" x14ac:dyDescent="0.15">
      <c r="A193" s="448"/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8"/>
    </row>
    <row r="194" spans="1:19" x14ac:dyDescent="0.15">
      <c r="A194" s="448"/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</row>
    <row r="195" spans="1:19" x14ac:dyDescent="0.15">
      <c r="A195" s="448"/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</row>
    <row r="196" spans="1:19" x14ac:dyDescent="0.15">
      <c r="A196" s="448"/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</row>
    <row r="197" spans="1:19" x14ac:dyDescent="0.15">
      <c r="A197" s="448"/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</row>
    <row r="198" spans="1:19" x14ac:dyDescent="0.15">
      <c r="A198" s="448"/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448"/>
      <c r="P198" s="448"/>
      <c r="Q198" s="448"/>
      <c r="R198" s="448"/>
      <c r="S198" s="448"/>
    </row>
    <row r="199" spans="1:19" x14ac:dyDescent="0.15">
      <c r="A199" s="448"/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</row>
    <row r="200" spans="1:19" x14ac:dyDescent="0.15">
      <c r="A200" s="448"/>
      <c r="B200" s="448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</row>
    <row r="201" spans="1:19" x14ac:dyDescent="0.15">
      <c r="A201" s="448"/>
      <c r="B201" s="448"/>
      <c r="C201" s="448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</row>
    <row r="202" spans="1:19" x14ac:dyDescent="0.15">
      <c r="A202" s="448"/>
      <c r="B202" s="448"/>
      <c r="C202" s="448"/>
      <c r="D202" s="448"/>
      <c r="E202" s="448"/>
      <c r="F202" s="448"/>
      <c r="G202" s="448"/>
      <c r="H202" s="448"/>
      <c r="I202" s="448"/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</row>
    <row r="203" spans="1:19" x14ac:dyDescent="0.15">
      <c r="A203" s="448"/>
      <c r="B203" s="448"/>
      <c r="C203" s="448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48"/>
      <c r="R203" s="448"/>
      <c r="S203" s="448"/>
    </row>
    <row r="204" spans="1:19" x14ac:dyDescent="0.15">
      <c r="A204" s="448"/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</row>
    <row r="205" spans="1:19" x14ac:dyDescent="0.15">
      <c r="A205" s="448"/>
      <c r="B205" s="448"/>
      <c r="C205" s="448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48"/>
      <c r="R205" s="448"/>
      <c r="S205" s="448"/>
    </row>
    <row r="206" spans="1:19" x14ac:dyDescent="0.15">
      <c r="A206" s="448"/>
      <c r="B206" s="448"/>
      <c r="C206" s="448"/>
      <c r="D206" s="448"/>
      <c r="E206" s="448"/>
      <c r="F206" s="448"/>
      <c r="G206" s="448"/>
      <c r="H206" s="448"/>
      <c r="I206" s="448"/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</row>
    <row r="207" spans="1:19" x14ac:dyDescent="0.15">
      <c r="A207" s="448"/>
      <c r="B207" s="448"/>
      <c r="C207" s="448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</row>
    <row r="208" spans="1:19" x14ac:dyDescent="0.15">
      <c r="A208" s="448"/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</row>
    <row r="209" spans="1:19" x14ac:dyDescent="0.15">
      <c r="A209" s="448"/>
      <c r="B209" s="448"/>
      <c r="C209" s="448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</row>
    <row r="210" spans="1:19" x14ac:dyDescent="0.15">
      <c r="A210" s="448"/>
      <c r="B210" s="448"/>
      <c r="C210" s="448"/>
      <c r="D210" s="448"/>
      <c r="E210" s="448"/>
      <c r="F210" s="448"/>
      <c r="G210" s="448"/>
      <c r="H210" s="448"/>
      <c r="I210" s="448"/>
      <c r="J210" s="448"/>
      <c r="K210" s="448"/>
      <c r="L210" s="448"/>
      <c r="M210" s="448"/>
      <c r="N210" s="448"/>
      <c r="O210" s="448"/>
      <c r="P210" s="448"/>
      <c r="Q210" s="448"/>
      <c r="R210" s="448"/>
      <c r="S210" s="448"/>
    </row>
    <row r="211" spans="1:19" x14ac:dyDescent="0.15">
      <c r="A211" s="448"/>
      <c r="B211" s="448"/>
      <c r="C211" s="448"/>
      <c r="D211" s="448"/>
      <c r="E211" s="448"/>
      <c r="F211" s="448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8"/>
      <c r="S211" s="448"/>
    </row>
    <row r="212" spans="1:19" x14ac:dyDescent="0.15">
      <c r="A212" s="448"/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</row>
    <row r="213" spans="1:19" x14ac:dyDescent="0.15">
      <c r="A213" s="448"/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</row>
    <row r="214" spans="1:19" x14ac:dyDescent="0.15">
      <c r="A214" s="448"/>
      <c r="B214" s="448"/>
      <c r="C214" s="448"/>
      <c r="D214" s="448"/>
      <c r="E214" s="448"/>
      <c r="F214" s="448"/>
      <c r="G214" s="448"/>
      <c r="H214" s="448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</row>
    <row r="215" spans="1:19" x14ac:dyDescent="0.15">
      <c r="A215" s="448"/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</row>
    <row r="216" spans="1:19" x14ac:dyDescent="0.15">
      <c r="A216" s="448"/>
      <c r="B216" s="448"/>
      <c r="C216" s="448"/>
      <c r="D216" s="448"/>
      <c r="E216" s="448"/>
      <c r="F216" s="448"/>
      <c r="G216" s="448"/>
      <c r="H216" s="448"/>
      <c r="I216" s="448"/>
      <c r="J216" s="448"/>
      <c r="K216" s="448"/>
      <c r="L216" s="448"/>
      <c r="M216" s="448"/>
      <c r="N216" s="448"/>
      <c r="O216" s="448"/>
      <c r="P216" s="448"/>
      <c r="Q216" s="448"/>
      <c r="R216" s="448"/>
      <c r="S216" s="448"/>
    </row>
    <row r="217" spans="1:19" x14ac:dyDescent="0.15">
      <c r="A217" s="448"/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</row>
    <row r="218" spans="1:19" x14ac:dyDescent="0.15">
      <c r="A218" s="448"/>
      <c r="B218" s="448"/>
      <c r="C218" s="448"/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448"/>
      <c r="P218" s="448"/>
      <c r="Q218" s="448"/>
      <c r="R218" s="448"/>
      <c r="S218" s="448"/>
    </row>
    <row r="219" spans="1:19" x14ac:dyDescent="0.15">
      <c r="A219" s="448"/>
      <c r="B219" s="448"/>
      <c r="C219" s="448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</row>
    <row r="220" spans="1:19" x14ac:dyDescent="0.15">
      <c r="A220" s="448"/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  <c r="M220" s="448"/>
      <c r="N220" s="448"/>
      <c r="O220" s="448"/>
      <c r="P220" s="448"/>
      <c r="Q220" s="448"/>
      <c r="R220" s="448"/>
      <c r="S220" s="448"/>
    </row>
    <row r="221" spans="1:19" x14ac:dyDescent="0.15">
      <c r="A221" s="448"/>
      <c r="B221" s="448"/>
      <c r="C221" s="448"/>
      <c r="D221" s="448"/>
      <c r="E221" s="448"/>
      <c r="F221" s="448"/>
      <c r="G221" s="448"/>
      <c r="H221" s="448"/>
      <c r="I221" s="448"/>
      <c r="J221" s="448"/>
      <c r="K221" s="448"/>
      <c r="L221" s="448"/>
      <c r="M221" s="448"/>
      <c r="N221" s="448"/>
      <c r="O221" s="448"/>
      <c r="P221" s="448"/>
      <c r="Q221" s="448"/>
      <c r="R221" s="448"/>
      <c r="S221" s="448"/>
    </row>
    <row r="222" spans="1:19" x14ac:dyDescent="0.15">
      <c r="A222" s="448"/>
      <c r="B222" s="448"/>
      <c r="C222" s="448"/>
      <c r="D222" s="448"/>
      <c r="E222" s="448"/>
      <c r="F222" s="448"/>
      <c r="G222" s="448"/>
      <c r="H222" s="448"/>
      <c r="I222" s="448"/>
      <c r="J222" s="448"/>
      <c r="K222" s="448"/>
      <c r="L222" s="448"/>
      <c r="M222" s="448"/>
      <c r="N222" s="448"/>
      <c r="O222" s="448"/>
      <c r="P222" s="448"/>
      <c r="Q222" s="448"/>
      <c r="R222" s="448"/>
      <c r="S222" s="448"/>
    </row>
    <row r="223" spans="1:19" x14ac:dyDescent="0.15">
      <c r="A223" s="448"/>
      <c r="B223" s="448"/>
      <c r="C223" s="448"/>
      <c r="D223" s="448"/>
      <c r="E223" s="448"/>
      <c r="F223" s="448"/>
      <c r="G223" s="448"/>
      <c r="H223" s="448"/>
      <c r="I223" s="448"/>
      <c r="J223" s="448"/>
      <c r="K223" s="448"/>
      <c r="L223" s="448"/>
      <c r="M223" s="448"/>
      <c r="N223" s="448"/>
      <c r="O223" s="448"/>
      <c r="P223" s="448"/>
      <c r="Q223" s="448"/>
      <c r="R223" s="448"/>
      <c r="S223" s="448"/>
    </row>
    <row r="224" spans="1:19" x14ac:dyDescent="0.15">
      <c r="A224" s="448"/>
      <c r="B224" s="448"/>
      <c r="C224" s="448"/>
      <c r="D224" s="448"/>
      <c r="E224" s="448"/>
      <c r="F224" s="448"/>
      <c r="G224" s="448"/>
      <c r="H224" s="448"/>
      <c r="I224" s="448"/>
      <c r="J224" s="448"/>
      <c r="K224" s="448"/>
      <c r="L224" s="448"/>
      <c r="M224" s="448"/>
      <c r="N224" s="448"/>
      <c r="O224" s="448"/>
      <c r="P224" s="448"/>
      <c r="Q224" s="448"/>
      <c r="R224" s="448"/>
      <c r="S224" s="448"/>
    </row>
    <row r="225" spans="1:19" x14ac:dyDescent="0.15">
      <c r="A225" s="448"/>
      <c r="B225" s="448"/>
      <c r="C225" s="448"/>
      <c r="D225" s="448"/>
      <c r="E225" s="448"/>
      <c r="F225" s="448"/>
      <c r="G225" s="448"/>
      <c r="H225" s="448"/>
      <c r="I225" s="448"/>
      <c r="J225" s="448"/>
      <c r="K225" s="448"/>
      <c r="L225" s="448"/>
      <c r="M225" s="448"/>
      <c r="N225" s="448"/>
      <c r="O225" s="448"/>
      <c r="P225" s="448"/>
      <c r="Q225" s="448"/>
      <c r="R225" s="448"/>
      <c r="S225" s="448"/>
    </row>
    <row r="226" spans="1:19" x14ac:dyDescent="0.15">
      <c r="A226" s="448"/>
      <c r="B226" s="448"/>
      <c r="C226" s="448"/>
      <c r="D226" s="448"/>
      <c r="E226" s="448"/>
      <c r="F226" s="448"/>
      <c r="G226" s="448"/>
      <c r="H226" s="448"/>
      <c r="I226" s="448"/>
      <c r="J226" s="448"/>
      <c r="K226" s="448"/>
      <c r="L226" s="448"/>
      <c r="M226" s="448"/>
      <c r="N226" s="448"/>
      <c r="O226" s="448"/>
      <c r="P226" s="448"/>
      <c r="Q226" s="448"/>
      <c r="R226" s="448"/>
      <c r="S226" s="448"/>
    </row>
    <row r="227" spans="1:19" x14ac:dyDescent="0.15">
      <c r="A227" s="448"/>
      <c r="B227" s="448"/>
      <c r="C227" s="448"/>
      <c r="D227" s="448"/>
      <c r="E227" s="448"/>
      <c r="F227" s="448"/>
      <c r="G227" s="448"/>
      <c r="H227" s="448"/>
      <c r="I227" s="448"/>
      <c r="J227" s="448"/>
      <c r="K227" s="448"/>
      <c r="L227" s="448"/>
      <c r="M227" s="448"/>
      <c r="N227" s="448"/>
      <c r="O227" s="448"/>
      <c r="P227" s="448"/>
      <c r="Q227" s="448"/>
      <c r="R227" s="448"/>
      <c r="S227" s="448"/>
    </row>
    <row r="228" spans="1:19" x14ac:dyDescent="0.15">
      <c r="A228" s="448"/>
      <c r="B228" s="448"/>
      <c r="C228" s="448"/>
      <c r="D228" s="448"/>
      <c r="E228" s="448"/>
      <c r="F228" s="448"/>
      <c r="G228" s="448"/>
      <c r="H228" s="448"/>
      <c r="I228" s="448"/>
      <c r="J228" s="448"/>
      <c r="K228" s="448"/>
      <c r="L228" s="448"/>
      <c r="M228" s="448"/>
      <c r="N228" s="448"/>
      <c r="O228" s="448"/>
      <c r="P228" s="448"/>
      <c r="Q228" s="448"/>
      <c r="R228" s="448"/>
      <c r="S228" s="448"/>
    </row>
    <row r="229" spans="1:19" x14ac:dyDescent="0.15">
      <c r="A229" s="448"/>
      <c r="B229" s="448"/>
      <c r="C229" s="448"/>
      <c r="D229" s="448"/>
      <c r="E229" s="448"/>
      <c r="F229" s="448"/>
      <c r="G229" s="448"/>
      <c r="H229" s="448"/>
      <c r="I229" s="448"/>
      <c r="J229" s="448"/>
      <c r="K229" s="448"/>
      <c r="L229" s="448"/>
      <c r="M229" s="448"/>
      <c r="N229" s="448"/>
      <c r="O229" s="448"/>
      <c r="P229" s="448"/>
      <c r="Q229" s="448"/>
      <c r="R229" s="448"/>
      <c r="S229" s="448"/>
    </row>
    <row r="230" spans="1:19" x14ac:dyDescent="0.15">
      <c r="A230" s="448"/>
      <c r="B230" s="448"/>
      <c r="C230" s="448"/>
      <c r="D230" s="448"/>
      <c r="E230" s="448"/>
      <c r="F230" s="448"/>
      <c r="G230" s="448"/>
      <c r="H230" s="448"/>
      <c r="I230" s="448"/>
      <c r="J230" s="448"/>
      <c r="K230" s="448"/>
      <c r="L230" s="448"/>
      <c r="M230" s="448"/>
      <c r="N230" s="448"/>
      <c r="O230" s="448"/>
      <c r="P230" s="448"/>
      <c r="Q230" s="448"/>
      <c r="R230" s="448"/>
      <c r="S230" s="448"/>
    </row>
    <row r="231" spans="1:19" x14ac:dyDescent="0.15">
      <c r="A231" s="448"/>
      <c r="B231" s="448"/>
      <c r="C231" s="448"/>
      <c r="D231" s="448"/>
      <c r="E231" s="448"/>
      <c r="F231" s="448"/>
      <c r="G231" s="448"/>
      <c r="H231" s="448"/>
      <c r="I231" s="448"/>
      <c r="J231" s="448"/>
      <c r="K231" s="448"/>
      <c r="L231" s="448"/>
      <c r="M231" s="448"/>
      <c r="N231" s="448"/>
      <c r="O231" s="448"/>
      <c r="P231" s="448"/>
      <c r="Q231" s="448"/>
      <c r="R231" s="448"/>
      <c r="S231" s="448"/>
    </row>
    <row r="232" spans="1:19" x14ac:dyDescent="0.15">
      <c r="A232" s="448"/>
      <c r="B232" s="448"/>
      <c r="C232" s="448"/>
      <c r="D232" s="448"/>
      <c r="E232" s="448"/>
      <c r="F232" s="448"/>
      <c r="G232" s="448"/>
      <c r="H232" s="448"/>
      <c r="I232" s="448"/>
      <c r="J232" s="448"/>
      <c r="K232" s="448"/>
      <c r="L232" s="448"/>
      <c r="M232" s="448"/>
      <c r="N232" s="448"/>
      <c r="O232" s="448"/>
      <c r="P232" s="448"/>
      <c r="Q232" s="448"/>
      <c r="R232" s="448"/>
      <c r="S232" s="448"/>
    </row>
    <row r="233" spans="1:19" x14ac:dyDescent="0.15">
      <c r="A233" s="448"/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</row>
    <row r="234" spans="1:19" x14ac:dyDescent="0.15">
      <c r="A234" s="448"/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</row>
    <row r="235" spans="1:19" x14ac:dyDescent="0.15">
      <c r="A235" s="448"/>
      <c r="B235" s="448"/>
      <c r="C235" s="448"/>
      <c r="D235" s="448"/>
      <c r="E235" s="448"/>
      <c r="F235" s="448"/>
      <c r="G235" s="448"/>
      <c r="H235" s="448"/>
      <c r="I235" s="448"/>
      <c r="J235" s="448"/>
      <c r="K235" s="448"/>
      <c r="L235" s="448"/>
      <c r="M235" s="448"/>
      <c r="N235" s="448"/>
      <c r="O235" s="448"/>
      <c r="P235" s="448"/>
      <c r="Q235" s="448"/>
      <c r="R235" s="448"/>
      <c r="S235" s="448"/>
    </row>
    <row r="236" spans="1:19" x14ac:dyDescent="0.15">
      <c r="A236" s="448"/>
      <c r="B236" s="448"/>
      <c r="C236" s="448"/>
      <c r="D236" s="448"/>
      <c r="E236" s="448"/>
      <c r="F236" s="448"/>
      <c r="G236" s="448"/>
      <c r="H236" s="448"/>
      <c r="I236" s="448"/>
      <c r="J236" s="448"/>
      <c r="K236" s="448"/>
      <c r="L236" s="448"/>
      <c r="M236" s="448"/>
      <c r="N236" s="448"/>
      <c r="O236" s="448"/>
      <c r="P236" s="448"/>
      <c r="Q236" s="448"/>
      <c r="R236" s="448"/>
      <c r="S236" s="448"/>
    </row>
    <row r="237" spans="1:19" x14ac:dyDescent="0.15">
      <c r="A237" s="448"/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</row>
    <row r="238" spans="1:19" x14ac:dyDescent="0.15">
      <c r="A238" s="448"/>
      <c r="B238" s="448"/>
      <c r="C238" s="448"/>
      <c r="D238" s="448"/>
      <c r="E238" s="448"/>
      <c r="F238" s="448"/>
      <c r="G238" s="448"/>
      <c r="H238" s="448"/>
      <c r="I238" s="448"/>
      <c r="J238" s="448"/>
      <c r="K238" s="448"/>
      <c r="L238" s="448"/>
      <c r="M238" s="448"/>
      <c r="N238" s="448"/>
      <c r="O238" s="448"/>
      <c r="P238" s="448"/>
      <c r="Q238" s="448"/>
      <c r="R238" s="448"/>
      <c r="S238" s="448"/>
    </row>
    <row r="239" spans="1:19" x14ac:dyDescent="0.15">
      <c r="A239" s="448"/>
      <c r="B239" s="448"/>
      <c r="C239" s="448"/>
      <c r="D239" s="448"/>
      <c r="E239" s="448"/>
      <c r="F239" s="448"/>
      <c r="G239" s="448"/>
      <c r="H239" s="448"/>
      <c r="I239" s="448"/>
      <c r="J239" s="448"/>
      <c r="K239" s="448"/>
      <c r="L239" s="448"/>
      <c r="M239" s="448"/>
      <c r="N239" s="448"/>
      <c r="O239" s="448"/>
      <c r="P239" s="448"/>
      <c r="Q239" s="448"/>
      <c r="R239" s="448"/>
      <c r="S239" s="448"/>
    </row>
    <row r="240" spans="1:19" x14ac:dyDescent="0.15">
      <c r="A240" s="448"/>
      <c r="B240" s="448"/>
      <c r="C240" s="448"/>
      <c r="D240" s="448"/>
      <c r="E240" s="448"/>
      <c r="F240" s="448"/>
      <c r="G240" s="448"/>
      <c r="H240" s="448"/>
      <c r="I240" s="448"/>
      <c r="J240" s="448"/>
      <c r="K240" s="448"/>
      <c r="L240" s="448"/>
      <c r="M240" s="448"/>
      <c r="N240" s="448"/>
      <c r="O240" s="448"/>
      <c r="P240" s="448"/>
      <c r="Q240" s="448"/>
      <c r="R240" s="448"/>
      <c r="S240" s="448"/>
    </row>
    <row r="241" spans="1:19" x14ac:dyDescent="0.15">
      <c r="A241" s="448"/>
      <c r="B241" s="448"/>
      <c r="C241" s="448"/>
      <c r="D241" s="448"/>
      <c r="E241" s="448"/>
      <c r="F241" s="448"/>
      <c r="G241" s="448"/>
      <c r="H241" s="448"/>
      <c r="I241" s="448"/>
      <c r="J241" s="448"/>
      <c r="K241" s="448"/>
      <c r="L241" s="448"/>
      <c r="M241" s="448"/>
      <c r="N241" s="448"/>
      <c r="O241" s="448"/>
      <c r="P241" s="448"/>
      <c r="Q241" s="448"/>
      <c r="R241" s="448"/>
      <c r="S241" s="448"/>
    </row>
    <row r="242" spans="1:19" x14ac:dyDescent="0.15">
      <c r="A242" s="448"/>
      <c r="B242" s="448"/>
      <c r="C242" s="448"/>
      <c r="D242" s="448"/>
      <c r="E242" s="448"/>
      <c r="F242" s="448"/>
      <c r="G242" s="448"/>
      <c r="H242" s="448"/>
      <c r="I242" s="448"/>
      <c r="J242" s="448"/>
      <c r="K242" s="448"/>
      <c r="L242" s="448"/>
      <c r="M242" s="448"/>
      <c r="N242" s="448"/>
      <c r="O242" s="448"/>
      <c r="P242" s="448"/>
      <c r="Q242" s="448"/>
      <c r="R242" s="448"/>
      <c r="S242" s="448"/>
    </row>
    <row r="243" spans="1:19" x14ac:dyDescent="0.15">
      <c r="A243" s="448"/>
      <c r="B243" s="448"/>
      <c r="C243" s="448"/>
      <c r="D243" s="448"/>
      <c r="E243" s="448"/>
      <c r="F243" s="448"/>
      <c r="G243" s="448"/>
      <c r="H243" s="448"/>
      <c r="I243" s="448"/>
      <c r="J243" s="448"/>
      <c r="K243" s="448"/>
      <c r="L243" s="448"/>
      <c r="M243" s="448"/>
      <c r="N243" s="448"/>
      <c r="O243" s="448"/>
      <c r="P243" s="448"/>
      <c r="Q243" s="448"/>
      <c r="R243" s="448"/>
      <c r="S243" s="448"/>
    </row>
    <row r="244" spans="1:19" x14ac:dyDescent="0.15">
      <c r="A244" s="448"/>
      <c r="B244" s="448"/>
      <c r="C244" s="448"/>
      <c r="D244" s="448"/>
      <c r="E244" s="448"/>
      <c r="F244" s="448"/>
      <c r="G244" s="448"/>
      <c r="H244" s="448"/>
      <c r="I244" s="448"/>
      <c r="J244" s="448"/>
      <c r="K244" s="448"/>
      <c r="L244" s="448"/>
      <c r="M244" s="448"/>
      <c r="N244" s="448"/>
      <c r="O244" s="448"/>
      <c r="P244" s="448"/>
      <c r="Q244" s="448"/>
      <c r="R244" s="448"/>
      <c r="S244" s="448"/>
    </row>
    <row r="245" spans="1:19" x14ac:dyDescent="0.15">
      <c r="A245" s="448"/>
      <c r="B245" s="448"/>
      <c r="C245" s="448"/>
      <c r="D245" s="448"/>
      <c r="E245" s="448"/>
      <c r="F245" s="448"/>
      <c r="G245" s="448"/>
      <c r="H245" s="448"/>
      <c r="I245" s="448"/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</row>
    <row r="246" spans="1:19" x14ac:dyDescent="0.15">
      <c r="A246" s="448"/>
      <c r="B246" s="448"/>
      <c r="C246" s="448"/>
      <c r="D246" s="448"/>
      <c r="E246" s="448"/>
      <c r="F246" s="448"/>
      <c r="G246" s="448"/>
      <c r="H246" s="448"/>
      <c r="I246" s="448"/>
      <c r="J246" s="448"/>
      <c r="K246" s="448"/>
      <c r="L246" s="448"/>
      <c r="M246" s="448"/>
      <c r="N246" s="448"/>
      <c r="O246" s="448"/>
      <c r="P246" s="448"/>
      <c r="Q246" s="448"/>
      <c r="R246" s="448"/>
      <c r="S246" s="448"/>
    </row>
    <row r="247" spans="1:19" x14ac:dyDescent="0.15">
      <c r="A247" s="448"/>
      <c r="B247" s="448"/>
      <c r="C247" s="448"/>
      <c r="D247" s="448"/>
      <c r="E247" s="448"/>
      <c r="F247" s="448"/>
      <c r="G247" s="448"/>
      <c r="H247" s="448"/>
      <c r="I247" s="448"/>
      <c r="J247" s="448"/>
      <c r="K247" s="448"/>
      <c r="L247" s="448"/>
      <c r="M247" s="448"/>
      <c r="N247" s="448"/>
      <c r="O247" s="448"/>
      <c r="P247" s="448"/>
      <c r="Q247" s="448"/>
      <c r="R247" s="448"/>
      <c r="S247" s="448"/>
    </row>
    <row r="248" spans="1:19" x14ac:dyDescent="0.15">
      <c r="A248" s="448"/>
      <c r="B248" s="448"/>
      <c r="C248" s="448"/>
      <c r="D248" s="448"/>
      <c r="E248" s="448"/>
      <c r="F248" s="448"/>
      <c r="G248" s="448"/>
      <c r="H248" s="448"/>
      <c r="I248" s="448"/>
      <c r="J248" s="448"/>
      <c r="K248" s="448"/>
      <c r="L248" s="448"/>
      <c r="M248" s="448"/>
      <c r="N248" s="448"/>
      <c r="O248" s="448"/>
      <c r="P248" s="448"/>
      <c r="Q248" s="448"/>
      <c r="R248" s="448"/>
      <c r="S248" s="448"/>
    </row>
    <row r="249" spans="1:19" x14ac:dyDescent="0.15">
      <c r="A249" s="448"/>
      <c r="B249" s="448"/>
      <c r="C249" s="448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48"/>
      <c r="R249" s="448"/>
      <c r="S249" s="448"/>
    </row>
    <row r="250" spans="1:19" x14ac:dyDescent="0.15">
      <c r="A250" s="448"/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</row>
    <row r="251" spans="1:19" x14ac:dyDescent="0.15">
      <c r="A251" s="448"/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</row>
    <row r="252" spans="1:19" x14ac:dyDescent="0.15">
      <c r="A252" s="448"/>
      <c r="B252" s="448"/>
      <c r="C252" s="448"/>
      <c r="D252" s="448"/>
      <c r="E252" s="448"/>
      <c r="F252" s="448"/>
      <c r="G252" s="448"/>
      <c r="H252" s="448"/>
      <c r="I252" s="448"/>
      <c r="J252" s="448"/>
      <c r="K252" s="448"/>
      <c r="L252" s="448"/>
      <c r="M252" s="448"/>
      <c r="N252" s="448"/>
      <c r="O252" s="448"/>
      <c r="P252" s="448"/>
      <c r="Q252" s="448"/>
      <c r="R252" s="448"/>
      <c r="S252" s="448"/>
    </row>
    <row r="253" spans="1:19" x14ac:dyDescent="0.15">
      <c r="A253" s="448"/>
      <c r="B253" s="448"/>
      <c r="C253" s="448"/>
      <c r="D253" s="448"/>
      <c r="E253" s="448"/>
      <c r="F253" s="448"/>
      <c r="G253" s="448"/>
      <c r="H253" s="448"/>
      <c r="I253" s="448"/>
      <c r="J253" s="448"/>
      <c r="K253" s="448"/>
      <c r="L253" s="448"/>
      <c r="M253" s="448"/>
      <c r="N253" s="448"/>
      <c r="O253" s="448"/>
      <c r="P253" s="448"/>
      <c r="Q253" s="448"/>
      <c r="R253" s="448"/>
      <c r="S253" s="448"/>
    </row>
    <row r="254" spans="1:19" x14ac:dyDescent="0.15">
      <c r="A254" s="448"/>
      <c r="B254" s="448"/>
      <c r="C254" s="448"/>
      <c r="D254" s="448"/>
      <c r="E254" s="448"/>
      <c r="F254" s="448"/>
      <c r="G254" s="448"/>
      <c r="H254" s="448"/>
      <c r="I254" s="448"/>
      <c r="J254" s="448"/>
      <c r="K254" s="448"/>
      <c r="L254" s="448"/>
      <c r="M254" s="448"/>
      <c r="N254" s="448"/>
      <c r="O254" s="448"/>
      <c r="P254" s="448"/>
      <c r="Q254" s="448"/>
      <c r="R254" s="448"/>
      <c r="S254" s="448"/>
    </row>
    <row r="255" spans="1:19" x14ac:dyDescent="0.15">
      <c r="A255" s="448"/>
      <c r="B255" s="448"/>
      <c r="C255" s="448"/>
      <c r="D255" s="448"/>
      <c r="E255" s="448"/>
      <c r="F255" s="448"/>
      <c r="G255" s="448"/>
      <c r="H255" s="448"/>
      <c r="I255" s="448"/>
      <c r="J255" s="448"/>
      <c r="K255" s="448"/>
      <c r="L255" s="448"/>
      <c r="M255" s="448"/>
      <c r="N255" s="448"/>
      <c r="O255" s="448"/>
      <c r="P255" s="448"/>
      <c r="Q255" s="448"/>
      <c r="R255" s="448"/>
      <c r="S255" s="448"/>
    </row>
    <row r="256" spans="1:19" x14ac:dyDescent="0.15">
      <c r="A256" s="448"/>
      <c r="B256" s="448"/>
      <c r="C256" s="448"/>
      <c r="D256" s="448"/>
      <c r="E256" s="448"/>
      <c r="F256" s="448"/>
      <c r="G256" s="448"/>
      <c r="H256" s="448"/>
      <c r="I256" s="448"/>
      <c r="J256" s="448"/>
      <c r="K256" s="448"/>
      <c r="L256" s="448"/>
      <c r="M256" s="448"/>
      <c r="N256" s="448"/>
      <c r="O256" s="448"/>
      <c r="P256" s="448"/>
      <c r="Q256" s="448"/>
      <c r="R256" s="448"/>
      <c r="S256" s="448"/>
    </row>
    <row r="257" spans="1:19" x14ac:dyDescent="0.15">
      <c r="A257" s="448"/>
      <c r="B257" s="448"/>
      <c r="C257" s="448"/>
      <c r="D257" s="448"/>
      <c r="E257" s="448"/>
      <c r="F257" s="448"/>
      <c r="G257" s="448"/>
      <c r="H257" s="448"/>
      <c r="I257" s="448"/>
      <c r="J257" s="448"/>
      <c r="K257" s="448"/>
      <c r="L257" s="448"/>
      <c r="M257" s="448"/>
      <c r="N257" s="448"/>
      <c r="O257" s="448"/>
      <c r="P257" s="448"/>
      <c r="Q257" s="448"/>
      <c r="R257" s="448"/>
      <c r="S257" s="448"/>
    </row>
    <row r="258" spans="1:19" x14ac:dyDescent="0.15">
      <c r="A258" s="448"/>
      <c r="B258" s="448"/>
      <c r="C258" s="448"/>
      <c r="D258" s="448"/>
      <c r="E258" s="448"/>
      <c r="F258" s="448"/>
      <c r="G258" s="448"/>
      <c r="H258" s="448"/>
      <c r="I258" s="448"/>
      <c r="J258" s="448"/>
      <c r="K258" s="448"/>
      <c r="L258" s="448"/>
      <c r="M258" s="448"/>
      <c r="N258" s="448"/>
      <c r="O258" s="448"/>
      <c r="P258" s="448"/>
      <c r="Q258" s="448"/>
      <c r="R258" s="448"/>
      <c r="S258" s="448"/>
    </row>
    <row r="259" spans="1:19" x14ac:dyDescent="0.15">
      <c r="A259" s="448"/>
      <c r="B259" s="448"/>
      <c r="C259" s="448"/>
      <c r="D259" s="448"/>
      <c r="E259" s="448"/>
      <c r="F259" s="448"/>
      <c r="G259" s="448"/>
      <c r="H259" s="448"/>
      <c r="I259" s="448"/>
      <c r="J259" s="448"/>
      <c r="K259" s="448"/>
      <c r="L259" s="448"/>
      <c r="M259" s="448"/>
      <c r="N259" s="448"/>
      <c r="O259" s="448"/>
      <c r="P259" s="448"/>
      <c r="Q259" s="448"/>
      <c r="R259" s="448"/>
      <c r="S259" s="448"/>
    </row>
    <row r="260" spans="1:19" x14ac:dyDescent="0.15">
      <c r="A260" s="448"/>
      <c r="B260" s="448"/>
      <c r="C260" s="448"/>
      <c r="D260" s="448"/>
      <c r="E260" s="448"/>
      <c r="F260" s="448"/>
      <c r="G260" s="448"/>
      <c r="H260" s="448"/>
      <c r="I260" s="448"/>
      <c r="J260" s="448"/>
      <c r="K260" s="448"/>
      <c r="L260" s="448"/>
      <c r="M260" s="448"/>
      <c r="N260" s="448"/>
      <c r="O260" s="448"/>
      <c r="P260" s="448"/>
      <c r="Q260" s="448"/>
      <c r="R260" s="448"/>
      <c r="S260" s="448"/>
    </row>
    <row r="261" spans="1:19" x14ac:dyDescent="0.15">
      <c r="A261" s="448"/>
      <c r="B261" s="448"/>
      <c r="C261" s="448"/>
      <c r="D261" s="448"/>
      <c r="E261" s="448"/>
      <c r="F261" s="448"/>
      <c r="G261" s="448"/>
      <c r="H261" s="448"/>
      <c r="I261" s="448"/>
      <c r="J261" s="448"/>
      <c r="K261" s="448"/>
      <c r="L261" s="448"/>
      <c r="M261" s="448"/>
      <c r="N261" s="448"/>
      <c r="O261" s="448"/>
      <c r="P261" s="448"/>
      <c r="Q261" s="448"/>
      <c r="R261" s="448"/>
      <c r="S261" s="448"/>
    </row>
    <row r="262" spans="1:19" x14ac:dyDescent="0.15">
      <c r="A262" s="448"/>
      <c r="B262" s="448"/>
      <c r="C262" s="448"/>
      <c r="D262" s="448"/>
      <c r="E262" s="448"/>
      <c r="F262" s="448"/>
      <c r="G262" s="448"/>
      <c r="H262" s="448"/>
      <c r="I262" s="448"/>
      <c r="J262" s="448"/>
      <c r="K262" s="448"/>
      <c r="L262" s="448"/>
      <c r="M262" s="448"/>
      <c r="N262" s="448"/>
      <c r="O262" s="448"/>
      <c r="P262" s="448"/>
      <c r="Q262" s="448"/>
      <c r="R262" s="448"/>
      <c r="S262" s="448"/>
    </row>
    <row r="263" spans="1:19" x14ac:dyDescent="0.15">
      <c r="A263" s="448"/>
      <c r="B263" s="448"/>
      <c r="C263" s="448"/>
      <c r="D263" s="448"/>
      <c r="E263" s="448"/>
      <c r="F263" s="448"/>
      <c r="G263" s="448"/>
      <c r="H263" s="448"/>
      <c r="I263" s="448"/>
      <c r="J263" s="448"/>
      <c r="K263" s="448"/>
      <c r="L263" s="448"/>
      <c r="M263" s="448"/>
      <c r="N263" s="448"/>
      <c r="O263" s="448"/>
      <c r="P263" s="448"/>
      <c r="Q263" s="448"/>
      <c r="R263" s="448"/>
      <c r="S263" s="448"/>
    </row>
    <row r="264" spans="1:19" x14ac:dyDescent="0.15">
      <c r="A264" s="448"/>
      <c r="B264" s="448"/>
      <c r="C264" s="448"/>
      <c r="D264" s="448"/>
      <c r="E264" s="448"/>
      <c r="F264" s="448"/>
      <c r="G264" s="448"/>
      <c r="H264" s="448"/>
      <c r="I264" s="448"/>
      <c r="J264" s="448"/>
      <c r="K264" s="448"/>
      <c r="L264" s="448"/>
      <c r="M264" s="448"/>
      <c r="N264" s="448"/>
      <c r="O264" s="448"/>
      <c r="P264" s="448"/>
      <c r="Q264" s="448"/>
      <c r="R264" s="448"/>
      <c r="S264" s="448"/>
    </row>
    <row r="265" spans="1:19" x14ac:dyDescent="0.15">
      <c r="A265" s="448"/>
      <c r="B265" s="448"/>
      <c r="C265" s="448"/>
      <c r="D265" s="448"/>
      <c r="E265" s="448"/>
      <c r="F265" s="448"/>
      <c r="G265" s="448"/>
      <c r="H265" s="448"/>
      <c r="I265" s="448"/>
      <c r="J265" s="448"/>
      <c r="K265" s="448"/>
      <c r="L265" s="448"/>
      <c r="M265" s="448"/>
      <c r="N265" s="448"/>
      <c r="O265" s="448"/>
      <c r="P265" s="448"/>
      <c r="Q265" s="448"/>
      <c r="R265" s="448"/>
      <c r="S265" s="448"/>
    </row>
    <row r="266" spans="1:19" x14ac:dyDescent="0.15">
      <c r="A266" s="448"/>
      <c r="B266" s="448"/>
      <c r="C266" s="448"/>
      <c r="D266" s="448"/>
      <c r="E266" s="448"/>
      <c r="F266" s="448"/>
      <c r="G266" s="448"/>
      <c r="H266" s="448"/>
      <c r="I266" s="448"/>
      <c r="J266" s="448"/>
      <c r="K266" s="448"/>
      <c r="L266" s="448"/>
      <c r="M266" s="448"/>
      <c r="N266" s="448"/>
      <c r="O266" s="448"/>
      <c r="P266" s="448"/>
      <c r="Q266" s="448"/>
      <c r="R266" s="448"/>
      <c r="S266" s="448"/>
    </row>
    <row r="267" spans="1:19" x14ac:dyDescent="0.15">
      <c r="A267" s="448"/>
      <c r="B267" s="448"/>
      <c r="C267" s="448"/>
      <c r="D267" s="448"/>
      <c r="E267" s="448"/>
      <c r="F267" s="448"/>
      <c r="G267" s="448"/>
      <c r="H267" s="448"/>
      <c r="I267" s="448"/>
      <c r="J267" s="448"/>
      <c r="K267" s="448"/>
      <c r="L267" s="448"/>
      <c r="M267" s="448"/>
      <c r="N267" s="448"/>
      <c r="O267" s="448"/>
      <c r="P267" s="448"/>
      <c r="Q267" s="448"/>
      <c r="R267" s="448"/>
      <c r="S267" s="448"/>
    </row>
    <row r="268" spans="1:19" x14ac:dyDescent="0.15">
      <c r="A268" s="448"/>
      <c r="B268" s="448"/>
      <c r="C268" s="448"/>
      <c r="D268" s="448"/>
      <c r="E268" s="448"/>
      <c r="F268" s="448"/>
      <c r="G268" s="448"/>
      <c r="H268" s="448"/>
      <c r="I268" s="448"/>
      <c r="J268" s="448"/>
      <c r="K268" s="448"/>
      <c r="L268" s="448"/>
      <c r="M268" s="448"/>
      <c r="N268" s="448"/>
      <c r="O268" s="448"/>
      <c r="P268" s="448"/>
      <c r="Q268" s="448"/>
      <c r="R268" s="448"/>
      <c r="S268" s="448"/>
    </row>
    <row r="269" spans="1:19" x14ac:dyDescent="0.15">
      <c r="A269" s="448"/>
      <c r="B269" s="448"/>
      <c r="C269" s="448"/>
      <c r="D269" s="448"/>
      <c r="E269" s="448"/>
      <c r="F269" s="448"/>
      <c r="G269" s="448"/>
      <c r="H269" s="448"/>
      <c r="I269" s="448"/>
      <c r="J269" s="448"/>
      <c r="K269" s="448"/>
      <c r="L269" s="448"/>
      <c r="M269" s="448"/>
      <c r="N269" s="448"/>
      <c r="O269" s="448"/>
      <c r="P269" s="448"/>
      <c r="Q269" s="448"/>
      <c r="R269" s="448"/>
      <c r="S269" s="448"/>
    </row>
    <row r="270" spans="1:19" x14ac:dyDescent="0.15">
      <c r="A270" s="448"/>
      <c r="B270" s="448"/>
      <c r="C270" s="448"/>
      <c r="D270" s="448"/>
      <c r="E270" s="448"/>
      <c r="F270" s="448"/>
      <c r="G270" s="448"/>
      <c r="H270" s="448"/>
      <c r="I270" s="448"/>
      <c r="J270" s="448"/>
      <c r="K270" s="448"/>
      <c r="L270" s="448"/>
      <c r="M270" s="448"/>
      <c r="N270" s="448"/>
      <c r="O270" s="448"/>
      <c r="P270" s="448"/>
      <c r="Q270" s="448"/>
      <c r="R270" s="448"/>
      <c r="S270" s="448"/>
    </row>
    <row r="271" spans="1:19" x14ac:dyDescent="0.15">
      <c r="A271" s="448"/>
      <c r="B271" s="448"/>
      <c r="C271" s="448"/>
      <c r="D271" s="448"/>
      <c r="E271" s="448"/>
      <c r="F271" s="448"/>
      <c r="G271" s="448"/>
      <c r="H271" s="448"/>
      <c r="I271" s="448"/>
      <c r="J271" s="448"/>
      <c r="K271" s="448"/>
      <c r="L271" s="448"/>
      <c r="M271" s="448"/>
      <c r="N271" s="448"/>
      <c r="O271" s="448"/>
      <c r="P271" s="448"/>
      <c r="Q271" s="448"/>
      <c r="R271" s="448"/>
      <c r="S271" s="448"/>
    </row>
    <row r="272" spans="1:19" x14ac:dyDescent="0.15">
      <c r="A272" s="448"/>
      <c r="B272" s="448"/>
      <c r="C272" s="448"/>
      <c r="D272" s="448"/>
      <c r="E272" s="448"/>
      <c r="F272" s="448"/>
      <c r="G272" s="448"/>
      <c r="H272" s="448"/>
      <c r="I272" s="448"/>
      <c r="J272" s="448"/>
      <c r="K272" s="448"/>
      <c r="L272" s="448"/>
      <c r="M272" s="448"/>
      <c r="N272" s="448"/>
      <c r="O272" s="448"/>
      <c r="P272" s="448"/>
      <c r="Q272" s="448"/>
      <c r="R272" s="448"/>
      <c r="S272" s="448"/>
    </row>
    <row r="273" spans="1:19" x14ac:dyDescent="0.15">
      <c r="A273" s="448"/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</row>
    <row r="274" spans="1:19" x14ac:dyDescent="0.15">
      <c r="A274" s="448"/>
      <c r="B274" s="448"/>
      <c r="C274" s="448"/>
      <c r="D274" s="448"/>
      <c r="E274" s="448"/>
      <c r="F274" s="448"/>
      <c r="G274" s="448"/>
      <c r="H274" s="448"/>
      <c r="I274" s="448"/>
      <c r="J274" s="448"/>
      <c r="K274" s="448"/>
      <c r="L274" s="448"/>
      <c r="M274" s="448"/>
      <c r="N274" s="448"/>
      <c r="O274" s="448"/>
      <c r="P274" s="448"/>
      <c r="Q274" s="448"/>
      <c r="R274" s="448"/>
      <c r="S274" s="448"/>
    </row>
    <row r="275" spans="1:19" x14ac:dyDescent="0.15">
      <c r="A275" s="448"/>
      <c r="B275" s="448"/>
      <c r="C275" s="448"/>
      <c r="D275" s="448"/>
      <c r="E275" s="448"/>
      <c r="F275" s="448"/>
      <c r="G275" s="448"/>
      <c r="H275" s="448"/>
      <c r="I275" s="448"/>
      <c r="J275" s="448"/>
      <c r="K275" s="448"/>
      <c r="L275" s="448"/>
      <c r="M275" s="448"/>
      <c r="N275" s="448"/>
      <c r="O275" s="448"/>
      <c r="P275" s="448"/>
      <c r="Q275" s="448"/>
      <c r="R275" s="448"/>
      <c r="S275" s="448"/>
    </row>
    <row r="276" spans="1:19" x14ac:dyDescent="0.15">
      <c r="A276" s="448"/>
      <c r="B276" s="448"/>
      <c r="C276" s="448"/>
      <c r="D276" s="448"/>
      <c r="E276" s="448"/>
      <c r="F276" s="448"/>
      <c r="G276" s="448"/>
      <c r="H276" s="448"/>
      <c r="I276" s="448"/>
      <c r="J276" s="448"/>
      <c r="K276" s="448"/>
      <c r="L276" s="448"/>
      <c r="M276" s="448"/>
      <c r="N276" s="448"/>
      <c r="O276" s="448"/>
      <c r="P276" s="448"/>
      <c r="Q276" s="448"/>
      <c r="R276" s="448"/>
      <c r="S276" s="448"/>
    </row>
    <row r="277" spans="1:19" x14ac:dyDescent="0.15">
      <c r="A277" s="448"/>
      <c r="B277" s="448"/>
      <c r="C277" s="448"/>
      <c r="D277" s="448"/>
      <c r="E277" s="448"/>
      <c r="F277" s="448"/>
      <c r="G277" s="448"/>
      <c r="H277" s="448"/>
      <c r="I277" s="448"/>
      <c r="J277" s="448"/>
      <c r="K277" s="448"/>
      <c r="L277" s="448"/>
      <c r="M277" s="448"/>
      <c r="N277" s="448"/>
      <c r="O277" s="448"/>
      <c r="P277" s="448"/>
      <c r="Q277" s="448"/>
      <c r="R277" s="448"/>
      <c r="S277" s="448"/>
    </row>
    <row r="278" spans="1:19" x14ac:dyDescent="0.15">
      <c r="A278" s="448"/>
      <c r="B278" s="448"/>
      <c r="C278" s="448"/>
      <c r="D278" s="448"/>
      <c r="E278" s="448"/>
      <c r="F278" s="448"/>
      <c r="G278" s="448"/>
      <c r="H278" s="448"/>
      <c r="I278" s="448"/>
      <c r="J278" s="448"/>
      <c r="K278" s="448"/>
      <c r="L278" s="448"/>
      <c r="M278" s="448"/>
      <c r="N278" s="448"/>
      <c r="O278" s="448"/>
      <c r="P278" s="448"/>
      <c r="Q278" s="448"/>
      <c r="R278" s="448"/>
      <c r="S278" s="448"/>
    </row>
    <row r="279" spans="1:19" x14ac:dyDescent="0.15">
      <c r="A279" s="448"/>
      <c r="B279" s="448"/>
      <c r="C279" s="448"/>
      <c r="D279" s="448"/>
      <c r="E279" s="448"/>
      <c r="F279" s="448"/>
      <c r="G279" s="448"/>
      <c r="H279" s="448"/>
      <c r="I279" s="448"/>
      <c r="J279" s="448"/>
      <c r="K279" s="448"/>
      <c r="L279" s="448"/>
      <c r="M279" s="448"/>
      <c r="N279" s="448"/>
      <c r="O279" s="448"/>
      <c r="P279" s="448"/>
      <c r="Q279" s="448"/>
      <c r="R279" s="448"/>
      <c r="S279" s="448"/>
    </row>
    <row r="280" spans="1:19" x14ac:dyDescent="0.15">
      <c r="A280" s="448"/>
      <c r="B280" s="448"/>
      <c r="C280" s="448"/>
      <c r="D280" s="448"/>
      <c r="E280" s="448"/>
      <c r="F280" s="448"/>
      <c r="G280" s="448"/>
      <c r="H280" s="448"/>
      <c r="I280" s="448"/>
      <c r="J280" s="448"/>
      <c r="K280" s="448"/>
      <c r="L280" s="448"/>
      <c r="M280" s="448"/>
      <c r="N280" s="448"/>
      <c r="O280" s="448"/>
      <c r="P280" s="448"/>
      <c r="Q280" s="448"/>
      <c r="R280" s="448"/>
      <c r="S280" s="448"/>
    </row>
    <row r="281" spans="1:19" x14ac:dyDescent="0.15">
      <c r="A281" s="448"/>
      <c r="B281" s="448"/>
      <c r="C281" s="448"/>
      <c r="D281" s="448"/>
      <c r="E281" s="448"/>
      <c r="F281" s="448"/>
      <c r="G281" s="448"/>
      <c r="H281" s="448"/>
      <c r="I281" s="448"/>
      <c r="J281" s="448"/>
      <c r="K281" s="448"/>
      <c r="L281" s="448"/>
      <c r="M281" s="448"/>
      <c r="N281" s="448"/>
      <c r="O281" s="448"/>
      <c r="P281" s="448"/>
      <c r="Q281" s="448"/>
      <c r="R281" s="448"/>
      <c r="S281" s="448"/>
    </row>
    <row r="282" spans="1:19" x14ac:dyDescent="0.15">
      <c r="A282" s="448"/>
      <c r="B282" s="448"/>
      <c r="C282" s="448"/>
      <c r="D282" s="448"/>
      <c r="E282" s="448"/>
      <c r="F282" s="448"/>
      <c r="G282" s="448"/>
      <c r="H282" s="448"/>
      <c r="I282" s="448"/>
      <c r="J282" s="448"/>
      <c r="K282" s="448"/>
      <c r="L282" s="448"/>
      <c r="M282" s="448"/>
      <c r="N282" s="448"/>
      <c r="O282" s="448"/>
      <c r="P282" s="448"/>
      <c r="Q282" s="448"/>
      <c r="R282" s="448"/>
      <c r="S282" s="448"/>
    </row>
    <row r="283" spans="1:19" x14ac:dyDescent="0.15">
      <c r="A283" s="448"/>
      <c r="B283" s="448"/>
      <c r="C283" s="448"/>
      <c r="D283" s="448"/>
      <c r="E283" s="448"/>
      <c r="F283" s="448"/>
      <c r="G283" s="448"/>
      <c r="H283" s="448"/>
      <c r="I283" s="448"/>
      <c r="J283" s="448"/>
      <c r="K283" s="448"/>
      <c r="L283" s="448"/>
      <c r="M283" s="448"/>
      <c r="N283" s="448"/>
      <c r="O283" s="448"/>
      <c r="P283" s="448"/>
      <c r="Q283" s="448"/>
      <c r="R283" s="448"/>
      <c r="S283" s="448"/>
    </row>
    <row r="284" spans="1:19" x14ac:dyDescent="0.15">
      <c r="A284" s="448"/>
      <c r="B284" s="448"/>
      <c r="C284" s="448"/>
      <c r="D284" s="448"/>
      <c r="E284" s="448"/>
      <c r="F284" s="448"/>
      <c r="G284" s="448"/>
      <c r="H284" s="448"/>
      <c r="I284" s="448"/>
      <c r="J284" s="448"/>
      <c r="K284" s="448"/>
      <c r="L284" s="448"/>
      <c r="M284" s="448"/>
      <c r="N284" s="448"/>
      <c r="O284" s="448"/>
      <c r="P284" s="448"/>
      <c r="Q284" s="448"/>
      <c r="R284" s="448"/>
      <c r="S284" s="448"/>
    </row>
    <row r="285" spans="1:19" x14ac:dyDescent="0.15">
      <c r="A285" s="448"/>
      <c r="B285" s="448"/>
      <c r="C285" s="448"/>
      <c r="D285" s="448"/>
      <c r="E285" s="448"/>
      <c r="F285" s="448"/>
      <c r="G285" s="448"/>
      <c r="H285" s="448"/>
      <c r="I285" s="448"/>
      <c r="J285" s="448"/>
      <c r="K285" s="448"/>
      <c r="L285" s="448"/>
      <c r="M285" s="448"/>
      <c r="N285" s="448"/>
      <c r="O285" s="448"/>
      <c r="P285" s="448"/>
      <c r="Q285" s="448"/>
      <c r="R285" s="448"/>
      <c r="S285" s="448"/>
    </row>
    <row r="286" spans="1:19" x14ac:dyDescent="0.15">
      <c r="A286" s="448"/>
      <c r="B286" s="448"/>
      <c r="C286" s="448"/>
      <c r="D286" s="448"/>
      <c r="E286" s="448"/>
      <c r="F286" s="448"/>
      <c r="G286" s="448"/>
      <c r="H286" s="448"/>
      <c r="I286" s="448"/>
      <c r="J286" s="448"/>
      <c r="K286" s="448"/>
      <c r="L286" s="448"/>
      <c r="M286" s="448"/>
      <c r="N286" s="448"/>
      <c r="O286" s="448"/>
      <c r="P286" s="448"/>
      <c r="Q286" s="448"/>
      <c r="R286" s="448"/>
      <c r="S286" s="448"/>
    </row>
    <row r="287" spans="1:19" x14ac:dyDescent="0.15">
      <c r="A287" s="448"/>
      <c r="B287" s="448"/>
      <c r="C287" s="448"/>
      <c r="D287" s="448"/>
      <c r="E287" s="448"/>
      <c r="F287" s="448"/>
      <c r="G287" s="448"/>
      <c r="H287" s="448"/>
      <c r="I287" s="448"/>
      <c r="J287" s="448"/>
      <c r="K287" s="448"/>
      <c r="L287" s="448"/>
      <c r="M287" s="448"/>
      <c r="N287" s="448"/>
      <c r="O287" s="448"/>
      <c r="P287" s="448"/>
      <c r="Q287" s="448"/>
      <c r="R287" s="448"/>
      <c r="S287" s="448"/>
    </row>
    <row r="288" spans="1:19" x14ac:dyDescent="0.15">
      <c r="A288" s="448"/>
      <c r="B288" s="448"/>
      <c r="C288" s="448"/>
      <c r="D288" s="448"/>
      <c r="E288" s="448"/>
      <c r="F288" s="448"/>
      <c r="G288" s="448"/>
      <c r="H288" s="448"/>
      <c r="I288" s="448"/>
      <c r="J288" s="448"/>
      <c r="K288" s="448"/>
      <c r="L288" s="448"/>
      <c r="M288" s="448"/>
      <c r="N288" s="448"/>
      <c r="O288" s="448"/>
      <c r="P288" s="448"/>
      <c r="Q288" s="448"/>
      <c r="R288" s="448"/>
      <c r="S288" s="448"/>
    </row>
    <row r="289" spans="1:19" x14ac:dyDescent="0.15">
      <c r="A289" s="448"/>
      <c r="B289" s="448"/>
      <c r="C289" s="448"/>
      <c r="D289" s="448"/>
      <c r="E289" s="448"/>
      <c r="F289" s="448"/>
      <c r="G289" s="448"/>
      <c r="H289" s="448"/>
      <c r="I289" s="448"/>
      <c r="J289" s="448"/>
      <c r="K289" s="448"/>
      <c r="L289" s="448"/>
      <c r="M289" s="448"/>
      <c r="N289" s="448"/>
      <c r="O289" s="448"/>
      <c r="P289" s="448"/>
      <c r="Q289" s="448"/>
      <c r="R289" s="448"/>
      <c r="S289" s="448"/>
    </row>
    <row r="290" spans="1:19" x14ac:dyDescent="0.15">
      <c r="A290" s="448"/>
      <c r="B290" s="448"/>
      <c r="C290" s="448"/>
      <c r="D290" s="448"/>
      <c r="E290" s="448"/>
      <c r="F290" s="448"/>
      <c r="G290" s="448"/>
      <c r="H290" s="448"/>
      <c r="I290" s="448"/>
      <c r="J290" s="448"/>
      <c r="K290" s="448"/>
      <c r="L290" s="448"/>
      <c r="M290" s="448"/>
      <c r="N290" s="448"/>
      <c r="O290" s="448"/>
      <c r="P290" s="448"/>
      <c r="Q290" s="448"/>
      <c r="R290" s="448"/>
      <c r="S290" s="448"/>
    </row>
    <row r="291" spans="1:19" x14ac:dyDescent="0.15">
      <c r="A291" s="448"/>
      <c r="B291" s="448"/>
      <c r="C291" s="448"/>
      <c r="D291" s="448"/>
      <c r="E291" s="448"/>
      <c r="F291" s="448"/>
      <c r="G291" s="448"/>
      <c r="H291" s="448"/>
      <c r="I291" s="448"/>
      <c r="J291" s="448"/>
      <c r="K291" s="448"/>
      <c r="L291" s="448"/>
      <c r="M291" s="448"/>
      <c r="N291" s="448"/>
      <c r="O291" s="448"/>
      <c r="P291" s="448"/>
      <c r="Q291" s="448"/>
      <c r="R291" s="448"/>
      <c r="S291" s="448"/>
    </row>
    <row r="292" spans="1:19" x14ac:dyDescent="0.15">
      <c r="A292" s="448"/>
      <c r="B292" s="448"/>
      <c r="C292" s="448"/>
      <c r="D292" s="448"/>
      <c r="E292" s="448"/>
      <c r="F292" s="448"/>
      <c r="G292" s="448"/>
      <c r="H292" s="448"/>
      <c r="I292" s="448"/>
      <c r="J292" s="448"/>
      <c r="K292" s="448"/>
      <c r="L292" s="448"/>
      <c r="M292" s="448"/>
      <c r="N292" s="448"/>
      <c r="O292" s="448"/>
      <c r="P292" s="448"/>
      <c r="Q292" s="448"/>
      <c r="R292" s="448"/>
      <c r="S292" s="448"/>
    </row>
    <row r="293" spans="1:19" x14ac:dyDescent="0.15">
      <c r="A293" s="448"/>
      <c r="B293" s="448"/>
      <c r="C293" s="448"/>
      <c r="D293" s="448"/>
      <c r="E293" s="448"/>
      <c r="F293" s="448"/>
      <c r="G293" s="448"/>
      <c r="H293" s="448"/>
      <c r="I293" s="448"/>
      <c r="J293" s="448"/>
      <c r="K293" s="448"/>
      <c r="L293" s="448"/>
      <c r="M293" s="448"/>
      <c r="N293" s="448"/>
      <c r="O293" s="448"/>
      <c r="P293" s="448"/>
      <c r="Q293" s="448"/>
      <c r="R293" s="448"/>
      <c r="S293" s="448"/>
    </row>
    <row r="294" spans="1:19" x14ac:dyDescent="0.15">
      <c r="A294" s="448"/>
      <c r="B294" s="448"/>
      <c r="C294" s="448"/>
      <c r="D294" s="448"/>
      <c r="E294" s="448"/>
      <c r="F294" s="448"/>
      <c r="G294" s="448"/>
      <c r="H294" s="448"/>
      <c r="I294" s="448"/>
      <c r="J294" s="448"/>
      <c r="K294" s="448"/>
      <c r="L294" s="448"/>
      <c r="M294" s="448"/>
      <c r="N294" s="448"/>
      <c r="O294" s="448"/>
      <c r="P294" s="448"/>
      <c r="Q294" s="448"/>
      <c r="R294" s="448"/>
      <c r="S294" s="448"/>
    </row>
    <row r="295" spans="1:19" x14ac:dyDescent="0.15">
      <c r="A295" s="448"/>
      <c r="B295" s="448"/>
      <c r="C295" s="448"/>
      <c r="D295" s="448"/>
      <c r="E295" s="448"/>
      <c r="F295" s="448"/>
      <c r="G295" s="448"/>
      <c r="H295" s="448"/>
      <c r="I295" s="448"/>
      <c r="J295" s="448"/>
      <c r="K295" s="448"/>
      <c r="L295" s="448"/>
      <c r="M295" s="448"/>
      <c r="N295" s="448"/>
      <c r="O295" s="448"/>
      <c r="P295" s="448"/>
      <c r="Q295" s="448"/>
      <c r="R295" s="448"/>
      <c r="S295" s="448"/>
    </row>
    <row r="296" spans="1:19" x14ac:dyDescent="0.15">
      <c r="A296" s="448"/>
      <c r="B296" s="448"/>
      <c r="C296" s="448"/>
      <c r="D296" s="448"/>
      <c r="E296" s="448"/>
      <c r="F296" s="448"/>
      <c r="G296" s="448"/>
      <c r="H296" s="448"/>
      <c r="I296" s="448"/>
      <c r="J296" s="448"/>
      <c r="K296" s="448"/>
      <c r="L296" s="448"/>
      <c r="M296" s="448"/>
      <c r="N296" s="448"/>
      <c r="O296" s="448"/>
      <c r="P296" s="448"/>
      <c r="Q296" s="448"/>
      <c r="R296" s="448"/>
      <c r="S296" s="448"/>
    </row>
    <row r="297" spans="1:19" x14ac:dyDescent="0.15">
      <c r="A297" s="448"/>
      <c r="B297" s="448"/>
      <c r="C297" s="448"/>
      <c r="D297" s="448"/>
      <c r="E297" s="448"/>
      <c r="F297" s="448"/>
      <c r="G297" s="448"/>
      <c r="H297" s="448"/>
      <c r="I297" s="448"/>
      <c r="J297" s="448"/>
      <c r="K297" s="448"/>
      <c r="L297" s="448"/>
      <c r="M297" s="448"/>
      <c r="N297" s="448"/>
      <c r="O297" s="448"/>
      <c r="P297" s="448"/>
      <c r="Q297" s="448"/>
      <c r="R297" s="448"/>
      <c r="S297" s="448"/>
    </row>
    <row r="298" spans="1:19" x14ac:dyDescent="0.15">
      <c r="A298" s="448"/>
      <c r="B298" s="448"/>
      <c r="C298" s="448"/>
      <c r="D298" s="448"/>
      <c r="E298" s="448"/>
      <c r="F298" s="448"/>
      <c r="G298" s="448"/>
      <c r="H298" s="448"/>
      <c r="I298" s="448"/>
      <c r="J298" s="448"/>
      <c r="K298" s="448"/>
      <c r="L298" s="448"/>
      <c r="M298" s="448"/>
      <c r="N298" s="448"/>
      <c r="O298" s="448"/>
      <c r="P298" s="448"/>
      <c r="Q298" s="448"/>
      <c r="R298" s="448"/>
      <c r="S298" s="448"/>
    </row>
    <row r="299" spans="1:19" x14ac:dyDescent="0.15">
      <c r="A299" s="448"/>
      <c r="B299" s="448"/>
      <c r="C299" s="448"/>
      <c r="D299" s="448"/>
      <c r="E299" s="448"/>
      <c r="F299" s="448"/>
      <c r="G299" s="448"/>
      <c r="H299" s="448"/>
      <c r="I299" s="448"/>
      <c r="J299" s="448"/>
      <c r="K299" s="448"/>
      <c r="L299" s="448"/>
      <c r="M299" s="448"/>
      <c r="N299" s="448"/>
      <c r="O299" s="448"/>
      <c r="P299" s="448"/>
      <c r="Q299" s="448"/>
      <c r="R299" s="448"/>
      <c r="S299" s="448"/>
    </row>
    <row r="300" spans="1:19" x14ac:dyDescent="0.15">
      <c r="A300" s="448"/>
      <c r="B300" s="448"/>
      <c r="C300" s="448"/>
      <c r="D300" s="448"/>
      <c r="E300" s="448"/>
      <c r="F300" s="448"/>
      <c r="G300" s="448"/>
      <c r="H300" s="448"/>
      <c r="I300" s="448"/>
      <c r="J300" s="448"/>
      <c r="K300" s="448"/>
      <c r="L300" s="448"/>
      <c r="M300" s="448"/>
      <c r="N300" s="448"/>
      <c r="O300" s="448"/>
      <c r="P300" s="448"/>
      <c r="Q300" s="448"/>
      <c r="R300" s="448"/>
      <c r="S300" s="448"/>
    </row>
    <row r="301" spans="1:19" x14ac:dyDescent="0.15">
      <c r="A301" s="448"/>
      <c r="B301" s="448"/>
      <c r="C301" s="448"/>
      <c r="D301" s="448"/>
      <c r="E301" s="448"/>
      <c r="F301" s="448"/>
      <c r="G301" s="448"/>
      <c r="H301" s="448"/>
      <c r="I301" s="448"/>
      <c r="J301" s="448"/>
      <c r="K301" s="448"/>
      <c r="L301" s="448"/>
      <c r="M301" s="448"/>
      <c r="N301" s="448"/>
      <c r="O301" s="448"/>
      <c r="P301" s="448"/>
      <c r="Q301" s="448"/>
      <c r="R301" s="448"/>
      <c r="S301" s="448"/>
    </row>
    <row r="302" spans="1:19" x14ac:dyDescent="0.15">
      <c r="A302" s="448"/>
      <c r="B302" s="448"/>
      <c r="C302" s="448"/>
      <c r="D302" s="448"/>
      <c r="E302" s="448"/>
      <c r="F302" s="448"/>
      <c r="G302" s="448"/>
      <c r="H302" s="448"/>
      <c r="I302" s="448"/>
      <c r="J302" s="448"/>
      <c r="K302" s="448"/>
      <c r="L302" s="448"/>
      <c r="M302" s="448"/>
      <c r="N302" s="448"/>
      <c r="O302" s="448"/>
      <c r="P302" s="448"/>
      <c r="Q302" s="448"/>
      <c r="R302" s="448"/>
      <c r="S302" s="448"/>
    </row>
    <row r="303" spans="1:19" x14ac:dyDescent="0.15">
      <c r="A303" s="448"/>
      <c r="B303" s="448"/>
      <c r="C303" s="448"/>
      <c r="D303" s="448"/>
      <c r="E303" s="448"/>
      <c r="F303" s="448"/>
      <c r="G303" s="448"/>
      <c r="H303" s="448"/>
      <c r="I303" s="448"/>
      <c r="J303" s="448"/>
      <c r="K303" s="448"/>
      <c r="L303" s="448"/>
      <c r="M303" s="448"/>
      <c r="N303" s="448"/>
      <c r="O303" s="448"/>
      <c r="P303" s="448"/>
      <c r="Q303" s="448"/>
      <c r="R303" s="448"/>
      <c r="S303" s="448"/>
    </row>
    <row r="304" spans="1:19" x14ac:dyDescent="0.15">
      <c r="A304" s="448"/>
      <c r="B304" s="448"/>
      <c r="C304" s="448"/>
      <c r="D304" s="448"/>
      <c r="E304" s="448"/>
      <c r="F304" s="448"/>
      <c r="G304" s="448"/>
      <c r="H304" s="448"/>
      <c r="I304" s="448"/>
      <c r="J304" s="448"/>
      <c r="K304" s="448"/>
      <c r="L304" s="448"/>
      <c r="M304" s="448"/>
      <c r="N304" s="448"/>
      <c r="O304" s="448"/>
      <c r="P304" s="448"/>
      <c r="Q304" s="448"/>
      <c r="R304" s="448"/>
      <c r="S304" s="448"/>
    </row>
    <row r="305" spans="1:19" x14ac:dyDescent="0.15">
      <c r="A305" s="448"/>
      <c r="B305" s="448"/>
      <c r="C305" s="448"/>
      <c r="D305" s="448"/>
      <c r="E305" s="448"/>
      <c r="F305" s="448"/>
      <c r="G305" s="448"/>
      <c r="H305" s="448"/>
      <c r="I305" s="448"/>
      <c r="J305" s="448"/>
      <c r="K305" s="448"/>
      <c r="L305" s="448"/>
      <c r="M305" s="448"/>
      <c r="N305" s="448"/>
      <c r="O305" s="448"/>
      <c r="P305" s="448"/>
      <c r="Q305" s="448"/>
      <c r="R305" s="448"/>
      <c r="S305" s="448"/>
    </row>
    <row r="306" spans="1:19" x14ac:dyDescent="0.15">
      <c r="A306" s="448"/>
      <c r="B306" s="448"/>
      <c r="C306" s="448"/>
      <c r="D306" s="448"/>
      <c r="E306" s="448"/>
      <c r="F306" s="448"/>
      <c r="G306" s="448"/>
      <c r="H306" s="448"/>
      <c r="I306" s="448"/>
      <c r="J306" s="448"/>
      <c r="K306" s="448"/>
      <c r="L306" s="448"/>
      <c r="M306" s="448"/>
      <c r="N306" s="448"/>
      <c r="O306" s="448"/>
      <c r="P306" s="448"/>
      <c r="Q306" s="448"/>
      <c r="R306" s="448"/>
      <c r="S306" s="448"/>
    </row>
    <row r="307" spans="1:19" x14ac:dyDescent="0.15">
      <c r="A307" s="448"/>
      <c r="B307" s="448"/>
      <c r="C307" s="448"/>
      <c r="D307" s="448"/>
      <c r="E307" s="448"/>
      <c r="F307" s="448"/>
      <c r="G307" s="448"/>
      <c r="H307" s="448"/>
      <c r="I307" s="448"/>
      <c r="J307" s="448"/>
      <c r="K307" s="448"/>
      <c r="L307" s="448"/>
      <c r="M307" s="448"/>
      <c r="N307" s="448"/>
      <c r="O307" s="448"/>
      <c r="P307" s="448"/>
      <c r="Q307" s="448"/>
      <c r="R307" s="448"/>
      <c r="S307" s="448"/>
    </row>
    <row r="308" spans="1:19" x14ac:dyDescent="0.15">
      <c r="A308" s="448"/>
      <c r="B308" s="448"/>
      <c r="C308" s="448"/>
      <c r="D308" s="448"/>
      <c r="E308" s="448"/>
      <c r="F308" s="448"/>
      <c r="G308" s="448"/>
      <c r="H308" s="448"/>
      <c r="I308" s="448"/>
      <c r="J308" s="448"/>
      <c r="K308" s="448"/>
      <c r="L308" s="448"/>
      <c r="M308" s="448"/>
      <c r="N308" s="448"/>
      <c r="O308" s="448"/>
      <c r="P308" s="448"/>
      <c r="Q308" s="448"/>
      <c r="R308" s="448"/>
      <c r="S308" s="448"/>
    </row>
    <row r="309" spans="1:19" x14ac:dyDescent="0.15">
      <c r="A309" s="448"/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</row>
    <row r="310" spans="1:19" x14ac:dyDescent="0.15">
      <c r="A310" s="448"/>
      <c r="B310" s="448"/>
      <c r="C310" s="448"/>
      <c r="D310" s="448"/>
      <c r="E310" s="448"/>
      <c r="F310" s="448"/>
      <c r="G310" s="448"/>
      <c r="H310" s="448"/>
      <c r="I310" s="448"/>
      <c r="J310" s="448"/>
      <c r="K310" s="448"/>
      <c r="L310" s="448"/>
      <c r="M310" s="448"/>
      <c r="N310" s="448"/>
      <c r="O310" s="448"/>
      <c r="P310" s="448"/>
      <c r="Q310" s="448"/>
      <c r="R310" s="448"/>
      <c r="S310" s="448"/>
    </row>
    <row r="311" spans="1:19" x14ac:dyDescent="0.15">
      <c r="A311" s="448"/>
      <c r="B311" s="448"/>
      <c r="C311" s="448"/>
      <c r="D311" s="448"/>
      <c r="E311" s="448"/>
      <c r="F311" s="448"/>
      <c r="G311" s="448"/>
      <c r="H311" s="448"/>
      <c r="I311" s="448"/>
      <c r="J311" s="448"/>
      <c r="K311" s="448"/>
      <c r="L311" s="448"/>
      <c r="M311" s="448"/>
      <c r="N311" s="448"/>
      <c r="O311" s="448"/>
      <c r="P311" s="448"/>
      <c r="Q311" s="448"/>
      <c r="R311" s="448"/>
      <c r="S311" s="448"/>
    </row>
    <row r="312" spans="1:19" x14ac:dyDescent="0.15">
      <c r="A312" s="448"/>
      <c r="B312" s="448"/>
      <c r="C312" s="448"/>
      <c r="D312" s="448"/>
      <c r="E312" s="448"/>
      <c r="F312" s="448"/>
      <c r="G312" s="448"/>
      <c r="H312" s="448"/>
      <c r="I312" s="448"/>
      <c r="J312" s="448"/>
      <c r="K312" s="448"/>
      <c r="L312" s="448"/>
      <c r="M312" s="448"/>
      <c r="N312" s="448"/>
      <c r="O312" s="448"/>
      <c r="P312" s="448"/>
      <c r="Q312" s="448"/>
      <c r="R312" s="448"/>
      <c r="S312" s="448"/>
    </row>
    <row r="313" spans="1:19" x14ac:dyDescent="0.15">
      <c r="A313" s="448"/>
      <c r="B313" s="448"/>
      <c r="C313" s="448"/>
      <c r="D313" s="448"/>
      <c r="E313" s="448"/>
      <c r="F313" s="448"/>
      <c r="G313" s="448"/>
      <c r="H313" s="448"/>
      <c r="I313" s="448"/>
      <c r="J313" s="448"/>
      <c r="K313" s="448"/>
      <c r="L313" s="448"/>
      <c r="M313" s="448"/>
      <c r="N313" s="448"/>
      <c r="O313" s="448"/>
      <c r="P313" s="448"/>
      <c r="Q313" s="448"/>
      <c r="R313" s="448"/>
      <c r="S313" s="448"/>
    </row>
    <row r="314" spans="1:19" x14ac:dyDescent="0.15">
      <c r="A314" s="448"/>
      <c r="B314" s="448"/>
      <c r="C314" s="448"/>
      <c r="D314" s="448"/>
      <c r="E314" s="448"/>
      <c r="F314" s="448"/>
      <c r="G314" s="448"/>
      <c r="H314" s="448"/>
      <c r="I314" s="448"/>
      <c r="J314" s="448"/>
      <c r="K314" s="448"/>
      <c r="L314" s="448"/>
      <c r="M314" s="448"/>
      <c r="N314" s="448"/>
      <c r="O314" s="448"/>
      <c r="P314" s="448"/>
      <c r="Q314" s="448"/>
      <c r="R314" s="448"/>
      <c r="S314" s="448"/>
    </row>
    <row r="315" spans="1:19" x14ac:dyDescent="0.15">
      <c r="A315" s="448"/>
      <c r="B315" s="448"/>
      <c r="C315" s="448"/>
      <c r="D315" s="448"/>
      <c r="E315" s="448"/>
      <c r="F315" s="448"/>
      <c r="G315" s="448"/>
      <c r="H315" s="448"/>
      <c r="I315" s="448"/>
      <c r="J315" s="448"/>
      <c r="K315" s="448"/>
      <c r="L315" s="448"/>
      <c r="M315" s="448"/>
      <c r="N315" s="448"/>
      <c r="O315" s="448"/>
      <c r="P315" s="448"/>
      <c r="Q315" s="448"/>
      <c r="R315" s="448"/>
      <c r="S315" s="448"/>
    </row>
    <row r="316" spans="1:19" x14ac:dyDescent="0.15">
      <c r="A316" s="448"/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</row>
    <row r="317" spans="1:19" x14ac:dyDescent="0.15">
      <c r="A317" s="448"/>
      <c r="B317" s="448"/>
      <c r="C317" s="448"/>
      <c r="D317" s="448"/>
      <c r="E317" s="448"/>
      <c r="F317" s="448"/>
      <c r="G317" s="448"/>
      <c r="H317" s="448"/>
      <c r="I317" s="448"/>
      <c r="J317" s="448"/>
      <c r="K317" s="448"/>
      <c r="L317" s="448"/>
      <c r="M317" s="448"/>
      <c r="N317" s="448"/>
      <c r="O317" s="448"/>
      <c r="P317" s="448"/>
      <c r="Q317" s="448"/>
      <c r="R317" s="448"/>
      <c r="S317" s="448"/>
    </row>
    <row r="318" spans="1:19" x14ac:dyDescent="0.15">
      <c r="A318" s="448"/>
      <c r="B318" s="448"/>
      <c r="C318" s="448"/>
      <c r="D318" s="448"/>
      <c r="E318" s="448"/>
      <c r="F318" s="448"/>
      <c r="G318" s="448"/>
      <c r="H318" s="448"/>
      <c r="I318" s="448"/>
      <c r="J318" s="448"/>
      <c r="K318" s="448"/>
      <c r="L318" s="448"/>
      <c r="M318" s="448"/>
      <c r="N318" s="448"/>
      <c r="O318" s="448"/>
      <c r="P318" s="448"/>
      <c r="Q318" s="448"/>
      <c r="R318" s="448"/>
      <c r="S318" s="448"/>
    </row>
    <row r="319" spans="1:19" x14ac:dyDescent="0.15">
      <c r="A319" s="448"/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</row>
    <row r="320" spans="1:19" x14ac:dyDescent="0.15">
      <c r="A320" s="448"/>
      <c r="B320" s="448"/>
      <c r="C320" s="448"/>
      <c r="D320" s="448"/>
      <c r="E320" s="448"/>
      <c r="F320" s="448"/>
      <c r="G320" s="448"/>
      <c r="H320" s="448"/>
      <c r="I320" s="448"/>
      <c r="J320" s="448"/>
      <c r="K320" s="448"/>
      <c r="L320" s="448"/>
      <c r="M320" s="448"/>
      <c r="N320" s="448"/>
      <c r="O320" s="448"/>
      <c r="P320" s="448"/>
      <c r="Q320" s="448"/>
      <c r="R320" s="448"/>
      <c r="S320" s="448"/>
    </row>
    <row r="321" spans="1:19" x14ac:dyDescent="0.15">
      <c r="A321" s="448"/>
      <c r="B321" s="448"/>
      <c r="C321" s="448"/>
      <c r="D321" s="448"/>
      <c r="E321" s="448"/>
      <c r="F321" s="448"/>
      <c r="G321" s="448"/>
      <c r="H321" s="448"/>
      <c r="I321" s="448"/>
      <c r="J321" s="448"/>
      <c r="K321" s="448"/>
      <c r="L321" s="448"/>
      <c r="M321" s="448"/>
      <c r="N321" s="448"/>
      <c r="O321" s="448"/>
      <c r="P321" s="448"/>
      <c r="Q321" s="448"/>
      <c r="R321" s="448"/>
      <c r="S321" s="448"/>
    </row>
    <row r="322" spans="1:19" x14ac:dyDescent="0.15">
      <c r="A322" s="448"/>
      <c r="B322" s="448"/>
      <c r="C322" s="448"/>
      <c r="D322" s="448"/>
      <c r="E322" s="448"/>
      <c r="F322" s="448"/>
      <c r="G322" s="448"/>
      <c r="H322" s="448"/>
      <c r="I322" s="448"/>
      <c r="J322" s="448"/>
      <c r="K322" s="448"/>
      <c r="L322" s="448"/>
      <c r="M322" s="448"/>
      <c r="N322" s="448"/>
      <c r="O322" s="448"/>
      <c r="P322" s="448"/>
      <c r="Q322" s="448"/>
      <c r="R322" s="448"/>
      <c r="S322" s="448"/>
    </row>
    <row r="323" spans="1:19" x14ac:dyDescent="0.15">
      <c r="A323" s="448"/>
      <c r="B323" s="448"/>
      <c r="C323" s="448"/>
      <c r="D323" s="448"/>
      <c r="E323" s="448"/>
      <c r="F323" s="448"/>
      <c r="G323" s="448"/>
      <c r="H323" s="448"/>
      <c r="I323" s="448"/>
      <c r="J323" s="448"/>
      <c r="K323" s="448"/>
      <c r="L323" s="448"/>
      <c r="M323" s="448"/>
      <c r="N323" s="448"/>
      <c r="O323" s="448"/>
      <c r="P323" s="448"/>
      <c r="Q323" s="448"/>
      <c r="R323" s="448"/>
      <c r="S323" s="448"/>
    </row>
    <row r="324" spans="1:19" x14ac:dyDescent="0.15">
      <c r="A324" s="448"/>
      <c r="B324" s="448"/>
      <c r="C324" s="448"/>
      <c r="D324" s="448"/>
      <c r="E324" s="448"/>
      <c r="F324" s="448"/>
      <c r="G324" s="448"/>
      <c r="H324" s="448"/>
      <c r="I324" s="448"/>
      <c r="J324" s="448"/>
      <c r="K324" s="448"/>
      <c r="L324" s="448"/>
      <c r="M324" s="448"/>
      <c r="N324" s="448"/>
      <c r="O324" s="448"/>
      <c r="P324" s="448"/>
      <c r="Q324" s="448"/>
      <c r="R324" s="448"/>
      <c r="S324" s="448"/>
    </row>
    <row r="325" spans="1:19" x14ac:dyDescent="0.15">
      <c r="A325" s="448"/>
      <c r="B325" s="448"/>
      <c r="C325" s="448"/>
      <c r="D325" s="448"/>
      <c r="E325" s="448"/>
      <c r="F325" s="448"/>
      <c r="G325" s="448"/>
      <c r="H325" s="448"/>
      <c r="I325" s="448"/>
      <c r="J325" s="448"/>
      <c r="K325" s="448"/>
      <c r="L325" s="448"/>
      <c r="M325" s="448"/>
      <c r="N325" s="448"/>
      <c r="O325" s="448"/>
      <c r="P325" s="448"/>
      <c r="Q325" s="448"/>
      <c r="R325" s="448"/>
      <c r="S325" s="448"/>
    </row>
    <row r="326" spans="1:19" x14ac:dyDescent="0.15">
      <c r="A326" s="448"/>
      <c r="B326" s="448"/>
      <c r="C326" s="448"/>
      <c r="D326" s="448"/>
      <c r="E326" s="448"/>
      <c r="F326" s="448"/>
      <c r="G326" s="448"/>
      <c r="H326" s="448"/>
      <c r="I326" s="448"/>
      <c r="J326" s="448"/>
      <c r="K326" s="448"/>
      <c r="L326" s="448"/>
      <c r="M326" s="448"/>
      <c r="N326" s="448"/>
      <c r="O326" s="448"/>
      <c r="P326" s="448"/>
      <c r="Q326" s="448"/>
      <c r="R326" s="448"/>
      <c r="S326" s="448"/>
    </row>
    <row r="327" spans="1:19" x14ac:dyDescent="0.15">
      <c r="A327" s="448"/>
      <c r="B327" s="448"/>
      <c r="C327" s="448"/>
      <c r="D327" s="448"/>
      <c r="E327" s="448"/>
      <c r="F327" s="448"/>
      <c r="G327" s="448"/>
      <c r="H327" s="448"/>
      <c r="I327" s="448"/>
      <c r="J327" s="448"/>
      <c r="K327" s="448"/>
      <c r="L327" s="448"/>
      <c r="M327" s="448"/>
      <c r="N327" s="448"/>
      <c r="O327" s="448"/>
      <c r="P327" s="448"/>
      <c r="Q327" s="448"/>
      <c r="R327" s="448"/>
      <c r="S327" s="448"/>
    </row>
    <row r="328" spans="1:19" x14ac:dyDescent="0.15">
      <c r="A328" s="448"/>
      <c r="B328" s="448"/>
      <c r="C328" s="448"/>
      <c r="D328" s="448"/>
      <c r="E328" s="448"/>
      <c r="F328" s="448"/>
      <c r="G328" s="448"/>
      <c r="H328" s="448"/>
      <c r="I328" s="448"/>
      <c r="J328" s="448"/>
      <c r="K328" s="448"/>
      <c r="L328" s="448"/>
      <c r="M328" s="448"/>
      <c r="N328" s="448"/>
      <c r="O328" s="448"/>
      <c r="P328" s="448"/>
      <c r="Q328" s="448"/>
      <c r="R328" s="448"/>
      <c r="S328" s="448"/>
    </row>
    <row r="329" spans="1:19" x14ac:dyDescent="0.15">
      <c r="A329" s="448"/>
      <c r="B329" s="448"/>
      <c r="C329" s="448"/>
      <c r="D329" s="448"/>
      <c r="E329" s="448"/>
      <c r="F329" s="448"/>
      <c r="G329" s="448"/>
      <c r="H329" s="448"/>
      <c r="I329" s="448"/>
      <c r="J329" s="448"/>
      <c r="K329" s="448"/>
      <c r="L329" s="448"/>
      <c r="M329" s="448"/>
      <c r="N329" s="448"/>
      <c r="O329" s="448"/>
      <c r="P329" s="448"/>
      <c r="Q329" s="448"/>
      <c r="R329" s="448"/>
      <c r="S329" s="448"/>
    </row>
    <row r="330" spans="1:19" x14ac:dyDescent="0.15">
      <c r="A330" s="448"/>
      <c r="B330" s="448"/>
      <c r="C330" s="448"/>
      <c r="D330" s="448"/>
      <c r="E330" s="448"/>
      <c r="F330" s="448"/>
      <c r="G330" s="448"/>
      <c r="H330" s="448"/>
      <c r="I330" s="448"/>
      <c r="J330" s="448"/>
      <c r="K330" s="448"/>
      <c r="L330" s="448"/>
      <c r="M330" s="448"/>
      <c r="N330" s="448"/>
      <c r="O330" s="448"/>
      <c r="P330" s="448"/>
      <c r="Q330" s="448"/>
      <c r="R330" s="448"/>
      <c r="S330" s="448"/>
    </row>
    <row r="331" spans="1:19" x14ac:dyDescent="0.15">
      <c r="A331" s="448"/>
      <c r="B331" s="448"/>
      <c r="C331" s="448"/>
      <c r="D331" s="448"/>
      <c r="E331" s="448"/>
      <c r="F331" s="448"/>
      <c r="G331" s="448"/>
      <c r="H331" s="448"/>
      <c r="I331" s="448"/>
      <c r="J331" s="448"/>
      <c r="K331" s="448"/>
      <c r="L331" s="448"/>
      <c r="M331" s="448"/>
      <c r="N331" s="448"/>
      <c r="O331" s="448"/>
      <c r="P331" s="448"/>
      <c r="Q331" s="448"/>
      <c r="R331" s="448"/>
      <c r="S331" s="448"/>
    </row>
    <row r="332" spans="1:19" x14ac:dyDescent="0.15">
      <c r="A332" s="448"/>
      <c r="B332" s="448"/>
      <c r="C332" s="448"/>
      <c r="D332" s="448"/>
      <c r="E332" s="448"/>
      <c r="F332" s="448"/>
      <c r="G332" s="448"/>
      <c r="H332" s="448"/>
      <c r="I332" s="448"/>
      <c r="J332" s="448"/>
      <c r="K332" s="448"/>
      <c r="L332" s="448"/>
      <c r="M332" s="448"/>
      <c r="N332" s="448"/>
      <c r="O332" s="448"/>
      <c r="P332" s="448"/>
      <c r="Q332" s="448"/>
      <c r="R332" s="448"/>
      <c r="S332" s="448"/>
    </row>
    <row r="333" spans="1:19" x14ac:dyDescent="0.15">
      <c r="A333" s="448"/>
      <c r="B333" s="448"/>
      <c r="C333" s="448"/>
      <c r="D333" s="448"/>
      <c r="E333" s="448"/>
      <c r="F333" s="448"/>
      <c r="G333" s="448"/>
      <c r="H333" s="448"/>
      <c r="I333" s="448"/>
      <c r="J333" s="448"/>
      <c r="K333" s="448"/>
      <c r="L333" s="448"/>
      <c r="M333" s="448"/>
      <c r="N333" s="448"/>
      <c r="O333" s="448"/>
      <c r="P333" s="448"/>
      <c r="Q333" s="448"/>
      <c r="R333" s="448"/>
      <c r="S333" s="448"/>
    </row>
    <row r="334" spans="1:19" x14ac:dyDescent="0.15">
      <c r="A334" s="448"/>
      <c r="B334" s="448"/>
      <c r="C334" s="448"/>
      <c r="D334" s="448"/>
      <c r="E334" s="448"/>
      <c r="F334" s="448"/>
      <c r="G334" s="448"/>
      <c r="H334" s="448"/>
      <c r="I334" s="448"/>
      <c r="J334" s="448"/>
      <c r="K334" s="448"/>
      <c r="L334" s="448"/>
      <c r="M334" s="448"/>
      <c r="N334" s="448"/>
      <c r="O334" s="448"/>
      <c r="P334" s="448"/>
      <c r="Q334" s="448"/>
      <c r="R334" s="448"/>
      <c r="S334" s="448"/>
    </row>
    <row r="335" spans="1:19" x14ac:dyDescent="0.15">
      <c r="A335" s="448"/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448"/>
      <c r="O335" s="448"/>
      <c r="P335" s="448"/>
      <c r="Q335" s="448"/>
      <c r="R335" s="448"/>
      <c r="S335" s="448"/>
    </row>
    <row r="336" spans="1:19" x14ac:dyDescent="0.15">
      <c r="A336" s="448"/>
      <c r="B336" s="448"/>
      <c r="C336" s="448"/>
      <c r="D336" s="448"/>
      <c r="E336" s="448"/>
      <c r="F336" s="448"/>
      <c r="G336" s="448"/>
      <c r="H336" s="448"/>
      <c r="I336" s="448"/>
      <c r="J336" s="448"/>
      <c r="K336" s="448"/>
      <c r="L336" s="448"/>
      <c r="M336" s="448"/>
      <c r="N336" s="448"/>
      <c r="O336" s="448"/>
      <c r="P336" s="448"/>
      <c r="Q336" s="448"/>
      <c r="R336" s="448"/>
      <c r="S336" s="448"/>
    </row>
    <row r="337" spans="1:19" x14ac:dyDescent="0.15">
      <c r="A337" s="448"/>
      <c r="B337" s="448"/>
      <c r="C337" s="448"/>
      <c r="D337" s="448"/>
      <c r="E337" s="448"/>
      <c r="F337" s="448"/>
      <c r="G337" s="448"/>
      <c r="H337" s="448"/>
      <c r="I337" s="448"/>
      <c r="J337" s="448"/>
      <c r="K337" s="448"/>
      <c r="L337" s="448"/>
      <c r="M337" s="448"/>
      <c r="N337" s="448"/>
      <c r="O337" s="448"/>
      <c r="P337" s="448"/>
      <c r="Q337" s="448"/>
      <c r="R337" s="448"/>
      <c r="S337" s="448"/>
    </row>
    <row r="338" spans="1:19" x14ac:dyDescent="0.15">
      <c r="A338" s="448"/>
      <c r="B338" s="448"/>
      <c r="C338" s="448"/>
      <c r="D338" s="448"/>
      <c r="E338" s="448"/>
      <c r="F338" s="448"/>
      <c r="G338" s="448"/>
      <c r="H338" s="448"/>
      <c r="I338" s="448"/>
      <c r="J338" s="448"/>
      <c r="K338" s="448"/>
      <c r="L338" s="448"/>
      <c r="M338" s="448"/>
      <c r="N338" s="448"/>
      <c r="O338" s="448"/>
      <c r="P338" s="448"/>
      <c r="Q338" s="448"/>
      <c r="R338" s="448"/>
      <c r="S338" s="448"/>
    </row>
    <row r="339" spans="1:19" x14ac:dyDescent="0.15">
      <c r="A339" s="448"/>
      <c r="B339" s="448"/>
      <c r="C339" s="448"/>
      <c r="D339" s="448"/>
      <c r="E339" s="448"/>
      <c r="F339" s="448"/>
      <c r="G339" s="448"/>
      <c r="H339" s="448"/>
      <c r="I339" s="448"/>
      <c r="J339" s="448"/>
      <c r="K339" s="448"/>
      <c r="L339" s="448"/>
      <c r="M339" s="448"/>
      <c r="N339" s="448"/>
      <c r="O339" s="448"/>
      <c r="P339" s="448"/>
      <c r="Q339" s="448"/>
      <c r="R339" s="448"/>
      <c r="S339" s="448"/>
    </row>
    <row r="340" spans="1:19" x14ac:dyDescent="0.15">
      <c r="A340" s="448"/>
      <c r="B340" s="448"/>
      <c r="C340" s="448"/>
      <c r="D340" s="448"/>
      <c r="E340" s="448"/>
      <c r="F340" s="448"/>
      <c r="G340" s="448"/>
      <c r="H340" s="448"/>
      <c r="I340" s="448"/>
      <c r="J340" s="448"/>
      <c r="K340" s="448"/>
      <c r="L340" s="448"/>
      <c r="M340" s="448"/>
      <c r="N340" s="448"/>
      <c r="O340" s="448"/>
      <c r="P340" s="448"/>
      <c r="Q340" s="448"/>
      <c r="R340" s="448"/>
      <c r="S340" s="448"/>
    </row>
    <row r="341" spans="1:19" x14ac:dyDescent="0.15">
      <c r="A341" s="448"/>
      <c r="B341" s="448"/>
      <c r="C341" s="448"/>
      <c r="D341" s="448"/>
      <c r="E341" s="448"/>
      <c r="F341" s="448"/>
      <c r="G341" s="448"/>
      <c r="H341" s="448"/>
      <c r="I341" s="448"/>
      <c r="J341" s="448"/>
      <c r="K341" s="448"/>
      <c r="L341" s="448"/>
      <c r="M341" s="448"/>
      <c r="N341" s="448"/>
      <c r="O341" s="448"/>
      <c r="P341" s="448"/>
      <c r="Q341" s="448"/>
      <c r="R341" s="448"/>
      <c r="S341" s="448"/>
    </row>
    <row r="342" spans="1:19" x14ac:dyDescent="0.15">
      <c r="A342" s="448"/>
      <c r="B342" s="448"/>
      <c r="C342" s="448"/>
      <c r="D342" s="448"/>
      <c r="E342" s="448"/>
      <c r="F342" s="448"/>
      <c r="G342" s="448"/>
      <c r="H342" s="448"/>
      <c r="I342" s="448"/>
      <c r="J342" s="448"/>
      <c r="K342" s="448"/>
      <c r="L342" s="448"/>
      <c r="M342" s="448"/>
      <c r="N342" s="448"/>
      <c r="O342" s="448"/>
      <c r="P342" s="448"/>
      <c r="Q342" s="448"/>
      <c r="R342" s="448"/>
      <c r="S342" s="448"/>
    </row>
    <row r="343" spans="1:19" x14ac:dyDescent="0.15">
      <c r="A343" s="448"/>
      <c r="B343" s="448"/>
      <c r="C343" s="448"/>
      <c r="D343" s="448"/>
      <c r="E343" s="448"/>
      <c r="F343" s="448"/>
      <c r="G343" s="448"/>
      <c r="H343" s="448"/>
      <c r="I343" s="448"/>
      <c r="J343" s="448"/>
      <c r="K343" s="448"/>
      <c r="L343" s="448"/>
      <c r="M343" s="448"/>
      <c r="N343" s="448"/>
      <c r="O343" s="448"/>
      <c r="P343" s="448"/>
      <c r="Q343" s="448"/>
      <c r="R343" s="448"/>
      <c r="S343" s="448"/>
    </row>
    <row r="344" spans="1:19" x14ac:dyDescent="0.15">
      <c r="A344" s="448"/>
      <c r="B344" s="448"/>
      <c r="C344" s="448"/>
      <c r="D344" s="448"/>
      <c r="E344" s="448"/>
      <c r="F344" s="448"/>
      <c r="G344" s="448"/>
      <c r="H344" s="448"/>
      <c r="I344" s="448"/>
      <c r="J344" s="448"/>
      <c r="K344" s="448"/>
      <c r="L344" s="448"/>
      <c r="M344" s="448"/>
      <c r="N344" s="448"/>
      <c r="O344" s="448"/>
      <c r="P344" s="448"/>
      <c r="Q344" s="448"/>
      <c r="R344" s="448"/>
      <c r="S344" s="448"/>
    </row>
    <row r="345" spans="1:19" x14ac:dyDescent="0.15">
      <c r="A345" s="448"/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</row>
    <row r="346" spans="1:19" x14ac:dyDescent="0.15">
      <c r="A346" s="448"/>
      <c r="B346" s="448"/>
      <c r="C346" s="448"/>
      <c r="D346" s="448"/>
      <c r="E346" s="448"/>
      <c r="F346" s="448"/>
      <c r="G346" s="448"/>
      <c r="H346" s="448"/>
      <c r="I346" s="448"/>
      <c r="J346" s="448"/>
      <c r="K346" s="448"/>
      <c r="L346" s="448"/>
      <c r="M346" s="448"/>
      <c r="N346" s="448"/>
      <c r="O346" s="448"/>
      <c r="P346" s="448"/>
      <c r="Q346" s="448"/>
      <c r="R346" s="448"/>
      <c r="S346" s="448"/>
    </row>
    <row r="347" spans="1:19" x14ac:dyDescent="0.15">
      <c r="A347" s="448"/>
      <c r="B347" s="448"/>
      <c r="C347" s="448"/>
      <c r="D347" s="448"/>
      <c r="E347" s="448"/>
      <c r="F347" s="448"/>
      <c r="G347" s="448"/>
      <c r="H347" s="448"/>
      <c r="I347" s="448"/>
      <c r="J347" s="448"/>
      <c r="K347" s="448"/>
      <c r="L347" s="448"/>
      <c r="M347" s="448"/>
      <c r="N347" s="448"/>
      <c r="O347" s="448"/>
      <c r="P347" s="448"/>
      <c r="Q347" s="448"/>
      <c r="R347" s="448"/>
      <c r="S347" s="448"/>
    </row>
    <row r="348" spans="1:19" x14ac:dyDescent="0.15">
      <c r="A348" s="448"/>
      <c r="B348" s="448"/>
      <c r="C348" s="448"/>
      <c r="D348" s="448"/>
      <c r="E348" s="448"/>
      <c r="F348" s="448"/>
      <c r="G348" s="448"/>
      <c r="H348" s="448"/>
      <c r="I348" s="448"/>
      <c r="J348" s="448"/>
      <c r="K348" s="448"/>
      <c r="L348" s="448"/>
      <c r="M348" s="448"/>
      <c r="N348" s="448"/>
      <c r="O348" s="448"/>
      <c r="P348" s="448"/>
      <c r="Q348" s="448"/>
      <c r="R348" s="448"/>
      <c r="S348" s="448"/>
    </row>
    <row r="349" spans="1:19" x14ac:dyDescent="0.15">
      <c r="A349" s="448"/>
      <c r="B349" s="448"/>
      <c r="C349" s="448"/>
      <c r="D349" s="448"/>
      <c r="E349" s="448"/>
      <c r="F349" s="448"/>
      <c r="G349" s="448"/>
      <c r="H349" s="448"/>
      <c r="I349" s="448"/>
      <c r="J349" s="448"/>
      <c r="K349" s="448"/>
      <c r="L349" s="448"/>
      <c r="M349" s="448"/>
      <c r="N349" s="448"/>
      <c r="O349" s="448"/>
      <c r="P349" s="448"/>
      <c r="Q349" s="448"/>
      <c r="R349" s="448"/>
      <c r="S349" s="448"/>
    </row>
    <row r="350" spans="1:19" x14ac:dyDescent="0.15">
      <c r="A350" s="448"/>
      <c r="B350" s="448"/>
      <c r="C350" s="448"/>
      <c r="D350" s="448"/>
      <c r="E350" s="448"/>
      <c r="F350" s="448"/>
      <c r="G350" s="448"/>
      <c r="H350" s="448"/>
      <c r="I350" s="448"/>
      <c r="J350" s="448"/>
      <c r="K350" s="448"/>
      <c r="L350" s="448"/>
      <c r="M350" s="448"/>
      <c r="N350" s="448"/>
      <c r="O350" s="448"/>
      <c r="P350" s="448"/>
      <c r="Q350" s="448"/>
      <c r="R350" s="448"/>
      <c r="S350" s="448"/>
    </row>
    <row r="351" spans="1:19" x14ac:dyDescent="0.15">
      <c r="A351" s="448"/>
      <c r="B351" s="448"/>
      <c r="C351" s="448"/>
      <c r="D351" s="448"/>
      <c r="E351" s="448"/>
      <c r="F351" s="448"/>
      <c r="G351" s="448"/>
      <c r="H351" s="448"/>
      <c r="I351" s="448"/>
      <c r="J351" s="448"/>
      <c r="K351" s="448"/>
      <c r="L351" s="448"/>
      <c r="M351" s="448"/>
      <c r="N351" s="448"/>
      <c r="O351" s="448"/>
      <c r="P351" s="448"/>
      <c r="Q351" s="448"/>
      <c r="R351" s="448"/>
      <c r="S351" s="448"/>
    </row>
    <row r="352" spans="1:19" x14ac:dyDescent="0.15">
      <c r="A352" s="448"/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</row>
    <row r="353" spans="1:19" x14ac:dyDescent="0.15">
      <c r="A353" s="448"/>
      <c r="B353" s="448"/>
      <c r="C353" s="448"/>
      <c r="D353" s="448"/>
      <c r="E353" s="448"/>
      <c r="F353" s="448"/>
      <c r="G353" s="448"/>
      <c r="H353" s="448"/>
      <c r="I353" s="448"/>
      <c r="J353" s="448"/>
      <c r="K353" s="448"/>
      <c r="L353" s="448"/>
      <c r="M353" s="448"/>
      <c r="N353" s="448"/>
      <c r="O353" s="448"/>
      <c r="P353" s="448"/>
      <c r="Q353" s="448"/>
      <c r="R353" s="448"/>
      <c r="S353" s="448"/>
    </row>
    <row r="354" spans="1:19" x14ac:dyDescent="0.15">
      <c r="A354" s="448"/>
      <c r="B354" s="448"/>
      <c r="C354" s="448"/>
      <c r="D354" s="448"/>
      <c r="E354" s="448"/>
      <c r="F354" s="448"/>
      <c r="G354" s="448"/>
      <c r="H354" s="448"/>
      <c r="I354" s="448"/>
      <c r="J354" s="448"/>
      <c r="K354" s="448"/>
      <c r="L354" s="448"/>
      <c r="M354" s="448"/>
      <c r="N354" s="448"/>
      <c r="O354" s="448"/>
      <c r="P354" s="448"/>
      <c r="Q354" s="448"/>
      <c r="R354" s="448"/>
      <c r="S354" s="448"/>
    </row>
    <row r="355" spans="1:19" x14ac:dyDescent="0.15">
      <c r="A355" s="448"/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</row>
    <row r="356" spans="1:19" x14ac:dyDescent="0.15">
      <c r="A356" s="448"/>
      <c r="B356" s="448"/>
      <c r="C356" s="448"/>
      <c r="D356" s="448"/>
      <c r="E356" s="448"/>
      <c r="F356" s="448"/>
      <c r="G356" s="448"/>
      <c r="H356" s="448"/>
      <c r="I356" s="448"/>
      <c r="J356" s="448"/>
      <c r="K356" s="448"/>
      <c r="L356" s="448"/>
      <c r="M356" s="448"/>
      <c r="N356" s="448"/>
      <c r="O356" s="448"/>
      <c r="P356" s="448"/>
      <c r="Q356" s="448"/>
      <c r="R356" s="448"/>
      <c r="S356" s="448"/>
    </row>
    <row r="357" spans="1:19" x14ac:dyDescent="0.15">
      <c r="A357" s="448"/>
      <c r="B357" s="448"/>
      <c r="C357" s="448"/>
      <c r="D357" s="448"/>
      <c r="E357" s="448"/>
      <c r="F357" s="448"/>
      <c r="G357" s="448"/>
      <c r="H357" s="448"/>
      <c r="I357" s="448"/>
      <c r="J357" s="448"/>
      <c r="K357" s="448"/>
      <c r="L357" s="448"/>
      <c r="M357" s="448"/>
      <c r="N357" s="448"/>
      <c r="O357" s="448"/>
      <c r="P357" s="448"/>
      <c r="Q357" s="448"/>
      <c r="R357" s="448"/>
      <c r="S357" s="448"/>
    </row>
    <row r="358" spans="1:19" x14ac:dyDescent="0.15">
      <c r="A358" s="448"/>
      <c r="B358" s="448"/>
      <c r="C358" s="448"/>
      <c r="D358" s="448"/>
      <c r="E358" s="448"/>
      <c r="F358" s="448"/>
      <c r="G358" s="448"/>
      <c r="H358" s="448"/>
      <c r="I358" s="448"/>
      <c r="J358" s="448"/>
      <c r="K358" s="448"/>
      <c r="L358" s="448"/>
      <c r="M358" s="448"/>
      <c r="N358" s="448"/>
      <c r="O358" s="448"/>
      <c r="P358" s="448"/>
      <c r="Q358" s="448"/>
      <c r="R358" s="448"/>
      <c r="S358" s="448"/>
    </row>
    <row r="359" spans="1:19" x14ac:dyDescent="0.15">
      <c r="A359" s="448"/>
      <c r="B359" s="448"/>
      <c r="C359" s="448"/>
      <c r="D359" s="448"/>
      <c r="E359" s="448"/>
      <c r="F359" s="448"/>
      <c r="G359" s="448"/>
      <c r="H359" s="448"/>
      <c r="I359" s="448"/>
      <c r="J359" s="448"/>
      <c r="K359" s="448"/>
      <c r="L359" s="448"/>
      <c r="M359" s="448"/>
      <c r="N359" s="448"/>
      <c r="O359" s="448"/>
      <c r="P359" s="448"/>
      <c r="Q359" s="448"/>
      <c r="R359" s="448"/>
      <c r="S359" s="448"/>
    </row>
    <row r="360" spans="1:19" x14ac:dyDescent="0.15">
      <c r="A360" s="448"/>
      <c r="B360" s="448"/>
      <c r="C360" s="448"/>
      <c r="D360" s="448"/>
      <c r="E360" s="448"/>
      <c r="F360" s="448"/>
      <c r="G360" s="448"/>
      <c r="H360" s="448"/>
      <c r="I360" s="448"/>
      <c r="J360" s="448"/>
      <c r="K360" s="448"/>
      <c r="L360" s="448"/>
      <c r="M360" s="448"/>
      <c r="N360" s="448"/>
      <c r="O360" s="448"/>
      <c r="P360" s="448"/>
      <c r="Q360" s="448"/>
      <c r="R360" s="448"/>
      <c r="S360" s="448"/>
    </row>
    <row r="361" spans="1:19" x14ac:dyDescent="0.15">
      <c r="A361" s="448"/>
      <c r="B361" s="448"/>
      <c r="C361" s="448"/>
      <c r="D361" s="448"/>
      <c r="E361" s="448"/>
      <c r="F361" s="448"/>
      <c r="G361" s="448"/>
      <c r="H361" s="448"/>
      <c r="I361" s="448"/>
      <c r="J361" s="448"/>
      <c r="K361" s="448"/>
      <c r="L361" s="448"/>
      <c r="M361" s="448"/>
      <c r="N361" s="448"/>
      <c r="O361" s="448"/>
      <c r="P361" s="448"/>
      <c r="Q361" s="448"/>
      <c r="R361" s="448"/>
      <c r="S361" s="448"/>
    </row>
    <row r="362" spans="1:19" x14ac:dyDescent="0.15">
      <c r="A362" s="448"/>
      <c r="B362" s="448"/>
      <c r="C362" s="448"/>
      <c r="D362" s="448"/>
      <c r="E362" s="448"/>
      <c r="F362" s="448"/>
      <c r="G362" s="448"/>
      <c r="H362" s="448"/>
      <c r="I362" s="448"/>
      <c r="J362" s="448"/>
      <c r="K362" s="448"/>
      <c r="L362" s="448"/>
      <c r="M362" s="448"/>
      <c r="N362" s="448"/>
      <c r="O362" s="448"/>
      <c r="P362" s="448"/>
      <c r="Q362" s="448"/>
      <c r="R362" s="448"/>
      <c r="S362" s="448"/>
    </row>
    <row r="363" spans="1:19" x14ac:dyDescent="0.15">
      <c r="A363" s="448"/>
      <c r="B363" s="448"/>
      <c r="C363" s="448"/>
      <c r="D363" s="448"/>
      <c r="E363" s="448"/>
      <c r="F363" s="448"/>
      <c r="G363" s="448"/>
      <c r="H363" s="448"/>
      <c r="I363" s="448"/>
      <c r="J363" s="448"/>
      <c r="K363" s="448"/>
      <c r="L363" s="448"/>
      <c r="M363" s="448"/>
      <c r="N363" s="448"/>
      <c r="O363" s="448"/>
      <c r="P363" s="448"/>
      <c r="Q363" s="448"/>
      <c r="R363" s="448"/>
      <c r="S363" s="448"/>
    </row>
    <row r="364" spans="1:19" x14ac:dyDescent="0.15">
      <c r="A364" s="448"/>
      <c r="B364" s="448"/>
      <c r="C364" s="448"/>
      <c r="D364" s="448"/>
      <c r="E364" s="448"/>
      <c r="F364" s="448"/>
      <c r="G364" s="448"/>
      <c r="H364" s="448"/>
      <c r="I364" s="448"/>
      <c r="J364" s="448"/>
      <c r="K364" s="448"/>
      <c r="L364" s="448"/>
      <c r="M364" s="448"/>
      <c r="N364" s="448"/>
      <c r="O364" s="448"/>
      <c r="P364" s="448"/>
      <c r="Q364" s="448"/>
      <c r="R364" s="448"/>
      <c r="S364" s="448"/>
    </row>
    <row r="365" spans="1:19" x14ac:dyDescent="0.15">
      <c r="A365" s="448"/>
      <c r="B365" s="448"/>
      <c r="C365" s="448"/>
      <c r="D365" s="448"/>
      <c r="E365" s="448"/>
      <c r="F365" s="448"/>
      <c r="G365" s="448"/>
      <c r="H365" s="448"/>
      <c r="I365" s="448"/>
      <c r="J365" s="448"/>
      <c r="K365" s="448"/>
      <c r="L365" s="448"/>
      <c r="M365" s="448"/>
      <c r="N365" s="448"/>
      <c r="O365" s="448"/>
      <c r="P365" s="448"/>
      <c r="Q365" s="448"/>
      <c r="R365" s="448"/>
      <c r="S365" s="448"/>
    </row>
    <row r="366" spans="1:19" x14ac:dyDescent="0.15">
      <c r="A366" s="448"/>
      <c r="B366" s="448"/>
      <c r="C366" s="448"/>
      <c r="D366" s="448"/>
      <c r="E366" s="448"/>
      <c r="F366" s="448"/>
      <c r="G366" s="448"/>
      <c r="H366" s="448"/>
      <c r="I366" s="448"/>
      <c r="J366" s="448"/>
      <c r="K366" s="448"/>
      <c r="L366" s="448"/>
      <c r="M366" s="448"/>
      <c r="N366" s="448"/>
      <c r="O366" s="448"/>
      <c r="P366" s="448"/>
      <c r="Q366" s="448"/>
      <c r="R366" s="448"/>
      <c r="S366" s="448"/>
    </row>
    <row r="367" spans="1:19" x14ac:dyDescent="0.15">
      <c r="A367" s="448"/>
      <c r="B367" s="448"/>
      <c r="C367" s="448"/>
      <c r="D367" s="448"/>
      <c r="E367" s="448"/>
      <c r="F367" s="448"/>
      <c r="G367" s="448"/>
      <c r="H367" s="448"/>
      <c r="I367" s="448"/>
      <c r="J367" s="448"/>
      <c r="K367" s="448"/>
      <c r="L367" s="448"/>
      <c r="M367" s="448"/>
      <c r="N367" s="448"/>
      <c r="O367" s="448"/>
      <c r="P367" s="448"/>
      <c r="Q367" s="448"/>
      <c r="R367" s="448"/>
      <c r="S367" s="448"/>
    </row>
    <row r="368" spans="1:19" x14ac:dyDescent="0.15">
      <c r="A368" s="448"/>
      <c r="B368" s="448"/>
      <c r="C368" s="448"/>
      <c r="D368" s="448"/>
      <c r="E368" s="448"/>
      <c r="F368" s="448"/>
      <c r="G368" s="448"/>
      <c r="H368" s="448"/>
      <c r="I368" s="448"/>
      <c r="J368" s="448"/>
      <c r="K368" s="448"/>
      <c r="L368" s="448"/>
      <c r="M368" s="448"/>
      <c r="N368" s="448"/>
      <c r="O368" s="448"/>
      <c r="P368" s="448"/>
      <c r="Q368" s="448"/>
      <c r="R368" s="448"/>
      <c r="S368" s="448"/>
    </row>
    <row r="369" spans="1:19" x14ac:dyDescent="0.15">
      <c r="A369" s="448"/>
      <c r="B369" s="448"/>
      <c r="C369" s="448"/>
      <c r="D369" s="448"/>
      <c r="E369" s="448"/>
      <c r="F369" s="448"/>
      <c r="G369" s="448"/>
      <c r="H369" s="448"/>
      <c r="I369" s="448"/>
      <c r="J369" s="448"/>
      <c r="K369" s="448"/>
      <c r="L369" s="448"/>
      <c r="M369" s="448"/>
      <c r="N369" s="448"/>
      <c r="O369" s="448"/>
      <c r="P369" s="448"/>
      <c r="Q369" s="448"/>
      <c r="R369" s="448"/>
      <c r="S369" s="448"/>
    </row>
    <row r="370" spans="1:19" x14ac:dyDescent="0.15">
      <c r="A370" s="448"/>
      <c r="B370" s="448"/>
      <c r="C370" s="448"/>
      <c r="D370" s="448"/>
      <c r="E370" s="448"/>
      <c r="F370" s="448"/>
      <c r="G370" s="448"/>
      <c r="H370" s="448"/>
      <c r="I370" s="448"/>
      <c r="J370" s="448"/>
      <c r="K370" s="448"/>
      <c r="L370" s="448"/>
      <c r="M370" s="448"/>
      <c r="N370" s="448"/>
      <c r="O370" s="448"/>
      <c r="P370" s="448"/>
      <c r="Q370" s="448"/>
      <c r="R370" s="448"/>
      <c r="S370" s="448"/>
    </row>
    <row r="371" spans="1:19" x14ac:dyDescent="0.15">
      <c r="A371" s="448"/>
      <c r="B371" s="448"/>
      <c r="C371" s="448"/>
      <c r="D371" s="448"/>
      <c r="E371" s="448"/>
      <c r="F371" s="448"/>
      <c r="G371" s="448"/>
      <c r="H371" s="448"/>
      <c r="I371" s="448"/>
      <c r="J371" s="448"/>
      <c r="K371" s="448"/>
      <c r="L371" s="448"/>
      <c r="M371" s="448"/>
      <c r="N371" s="448"/>
      <c r="O371" s="448"/>
      <c r="P371" s="448"/>
      <c r="Q371" s="448"/>
      <c r="R371" s="448"/>
      <c r="S371" s="448"/>
    </row>
    <row r="372" spans="1:19" x14ac:dyDescent="0.15">
      <c r="A372" s="448"/>
      <c r="B372" s="448"/>
      <c r="C372" s="448"/>
      <c r="D372" s="448"/>
      <c r="E372" s="448"/>
      <c r="F372" s="448"/>
      <c r="G372" s="448"/>
      <c r="H372" s="448"/>
      <c r="I372" s="448"/>
      <c r="J372" s="448"/>
      <c r="K372" s="448"/>
      <c r="L372" s="448"/>
      <c r="M372" s="448"/>
      <c r="N372" s="448"/>
      <c r="O372" s="448"/>
      <c r="P372" s="448"/>
      <c r="Q372" s="448"/>
      <c r="R372" s="448"/>
      <c r="S372" s="448"/>
    </row>
    <row r="373" spans="1:19" x14ac:dyDescent="0.15">
      <c r="A373" s="448"/>
      <c r="B373" s="448"/>
      <c r="C373" s="448"/>
      <c r="D373" s="448"/>
      <c r="E373" s="448"/>
      <c r="F373" s="448"/>
      <c r="G373" s="448"/>
      <c r="H373" s="448"/>
      <c r="I373" s="448"/>
      <c r="J373" s="448"/>
      <c r="K373" s="448"/>
      <c r="L373" s="448"/>
      <c r="M373" s="448"/>
      <c r="N373" s="448"/>
      <c r="O373" s="448"/>
      <c r="P373" s="448"/>
      <c r="Q373" s="448"/>
      <c r="R373" s="448"/>
      <c r="S373" s="448"/>
    </row>
    <row r="374" spans="1:19" x14ac:dyDescent="0.15">
      <c r="A374" s="448"/>
      <c r="B374" s="448"/>
      <c r="C374" s="448"/>
      <c r="D374" s="448"/>
      <c r="E374" s="448"/>
      <c r="F374" s="448"/>
      <c r="G374" s="448"/>
      <c r="H374" s="448"/>
      <c r="I374" s="448"/>
      <c r="J374" s="448"/>
      <c r="K374" s="448"/>
      <c r="L374" s="448"/>
      <c r="M374" s="448"/>
      <c r="N374" s="448"/>
      <c r="O374" s="448"/>
      <c r="P374" s="448"/>
      <c r="Q374" s="448"/>
      <c r="R374" s="448"/>
      <c r="S374" s="448"/>
    </row>
    <row r="375" spans="1:19" x14ac:dyDescent="0.15">
      <c r="A375" s="448"/>
      <c r="B375" s="448"/>
      <c r="C375" s="448"/>
      <c r="D375" s="448"/>
      <c r="E375" s="448"/>
      <c r="F375" s="448"/>
      <c r="G375" s="448"/>
      <c r="H375" s="448"/>
      <c r="I375" s="448"/>
      <c r="J375" s="448"/>
      <c r="K375" s="448"/>
      <c r="L375" s="448"/>
      <c r="M375" s="448"/>
      <c r="N375" s="448"/>
      <c r="O375" s="448"/>
      <c r="P375" s="448"/>
      <c r="Q375" s="448"/>
      <c r="R375" s="448"/>
      <c r="S375" s="448"/>
    </row>
    <row r="376" spans="1:19" x14ac:dyDescent="0.15">
      <c r="A376" s="448"/>
      <c r="B376" s="448"/>
      <c r="C376" s="448"/>
      <c r="D376" s="448"/>
      <c r="E376" s="448"/>
      <c r="F376" s="448"/>
      <c r="G376" s="448"/>
      <c r="H376" s="448"/>
      <c r="I376" s="448"/>
      <c r="J376" s="448"/>
      <c r="K376" s="448"/>
      <c r="L376" s="448"/>
      <c r="M376" s="448"/>
      <c r="N376" s="448"/>
      <c r="O376" s="448"/>
      <c r="P376" s="448"/>
      <c r="Q376" s="448"/>
      <c r="R376" s="448"/>
      <c r="S376" s="448"/>
    </row>
    <row r="377" spans="1:19" x14ac:dyDescent="0.15">
      <c r="A377" s="448"/>
      <c r="B377" s="448"/>
      <c r="C377" s="448"/>
      <c r="D377" s="448"/>
      <c r="E377" s="448"/>
      <c r="F377" s="448"/>
      <c r="G377" s="448"/>
      <c r="H377" s="448"/>
      <c r="I377" s="448"/>
      <c r="J377" s="448"/>
      <c r="K377" s="448"/>
      <c r="L377" s="448"/>
      <c r="M377" s="448"/>
      <c r="N377" s="448"/>
      <c r="O377" s="448"/>
      <c r="P377" s="448"/>
      <c r="Q377" s="448"/>
      <c r="R377" s="448"/>
      <c r="S377" s="448"/>
    </row>
    <row r="378" spans="1:19" x14ac:dyDescent="0.15">
      <c r="A378" s="448"/>
      <c r="B378" s="448"/>
      <c r="C378" s="448"/>
      <c r="D378" s="448"/>
      <c r="E378" s="448"/>
      <c r="F378" s="448"/>
      <c r="G378" s="448"/>
      <c r="H378" s="448"/>
      <c r="I378" s="448"/>
      <c r="J378" s="448"/>
      <c r="K378" s="448"/>
      <c r="L378" s="448"/>
      <c r="M378" s="448"/>
      <c r="N378" s="448"/>
      <c r="O378" s="448"/>
      <c r="P378" s="448"/>
      <c r="Q378" s="448"/>
      <c r="R378" s="448"/>
      <c r="S378" s="448"/>
    </row>
    <row r="379" spans="1:19" x14ac:dyDescent="0.15">
      <c r="A379" s="448"/>
      <c r="B379" s="448"/>
      <c r="C379" s="448"/>
      <c r="D379" s="448"/>
      <c r="E379" s="448"/>
      <c r="F379" s="448"/>
      <c r="G379" s="448"/>
      <c r="H379" s="448"/>
      <c r="I379" s="448"/>
      <c r="J379" s="448"/>
      <c r="K379" s="448"/>
      <c r="L379" s="448"/>
      <c r="M379" s="448"/>
      <c r="N379" s="448"/>
      <c r="O379" s="448"/>
      <c r="P379" s="448"/>
      <c r="Q379" s="448"/>
      <c r="R379" s="448"/>
      <c r="S379" s="448"/>
    </row>
    <row r="380" spans="1:19" x14ac:dyDescent="0.15">
      <c r="A380" s="448"/>
      <c r="B380" s="448"/>
      <c r="C380" s="448"/>
      <c r="D380" s="448"/>
      <c r="E380" s="448"/>
      <c r="F380" s="448"/>
      <c r="G380" s="448"/>
      <c r="H380" s="448"/>
      <c r="I380" s="448"/>
      <c r="J380" s="448"/>
      <c r="K380" s="448"/>
      <c r="L380" s="448"/>
      <c r="M380" s="448"/>
      <c r="N380" s="448"/>
      <c r="O380" s="448"/>
      <c r="P380" s="448"/>
      <c r="Q380" s="448"/>
      <c r="R380" s="448"/>
      <c r="S380" s="448"/>
    </row>
    <row r="381" spans="1:19" x14ac:dyDescent="0.15">
      <c r="A381" s="448"/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</row>
    <row r="382" spans="1:19" x14ac:dyDescent="0.15">
      <c r="A382" s="448"/>
      <c r="B382" s="448"/>
      <c r="C382" s="448"/>
      <c r="D382" s="448"/>
      <c r="E382" s="448"/>
      <c r="F382" s="448"/>
      <c r="G382" s="448"/>
      <c r="H382" s="448"/>
      <c r="I382" s="448"/>
      <c r="J382" s="448"/>
      <c r="K382" s="448"/>
      <c r="L382" s="448"/>
      <c r="M382" s="448"/>
      <c r="N382" s="448"/>
      <c r="O382" s="448"/>
      <c r="P382" s="448"/>
      <c r="Q382" s="448"/>
      <c r="R382" s="448"/>
      <c r="S382" s="448"/>
    </row>
    <row r="383" spans="1:19" x14ac:dyDescent="0.15">
      <c r="A383" s="448"/>
      <c r="B383" s="448"/>
      <c r="C383" s="448"/>
      <c r="D383" s="448"/>
      <c r="E383" s="448"/>
      <c r="F383" s="448"/>
      <c r="G383" s="448"/>
      <c r="H383" s="448"/>
      <c r="I383" s="448"/>
      <c r="J383" s="448"/>
      <c r="K383" s="448"/>
      <c r="L383" s="448"/>
      <c r="M383" s="448"/>
      <c r="N383" s="448"/>
      <c r="O383" s="448"/>
      <c r="P383" s="448"/>
      <c r="Q383" s="448"/>
      <c r="R383" s="448"/>
      <c r="S383" s="448"/>
    </row>
    <row r="384" spans="1:19" x14ac:dyDescent="0.15">
      <c r="A384" s="448"/>
      <c r="B384" s="448"/>
      <c r="C384" s="448"/>
      <c r="D384" s="448"/>
      <c r="E384" s="448"/>
      <c r="F384" s="448"/>
      <c r="G384" s="448"/>
      <c r="H384" s="448"/>
      <c r="I384" s="448"/>
      <c r="J384" s="448"/>
      <c r="K384" s="448"/>
      <c r="L384" s="448"/>
      <c r="M384" s="448"/>
      <c r="N384" s="448"/>
      <c r="O384" s="448"/>
      <c r="P384" s="448"/>
      <c r="Q384" s="448"/>
      <c r="R384" s="448"/>
      <c r="S384" s="448"/>
    </row>
    <row r="385" spans="1:19" x14ac:dyDescent="0.15">
      <c r="A385" s="448"/>
      <c r="B385" s="448"/>
      <c r="C385" s="448"/>
      <c r="D385" s="448"/>
      <c r="E385" s="448"/>
      <c r="F385" s="448"/>
      <c r="G385" s="448"/>
      <c r="H385" s="448"/>
      <c r="I385" s="448"/>
      <c r="J385" s="448"/>
      <c r="K385" s="448"/>
      <c r="L385" s="448"/>
      <c r="M385" s="448"/>
      <c r="N385" s="448"/>
      <c r="O385" s="448"/>
      <c r="P385" s="448"/>
      <c r="Q385" s="448"/>
      <c r="R385" s="448"/>
      <c r="S385" s="448"/>
    </row>
    <row r="386" spans="1:19" x14ac:dyDescent="0.15">
      <c r="A386" s="448"/>
      <c r="B386" s="448"/>
      <c r="C386" s="448"/>
      <c r="D386" s="448"/>
      <c r="E386" s="448"/>
      <c r="F386" s="448"/>
      <c r="G386" s="448"/>
      <c r="H386" s="448"/>
      <c r="I386" s="448"/>
      <c r="J386" s="448"/>
      <c r="K386" s="448"/>
      <c r="L386" s="448"/>
      <c r="M386" s="448"/>
      <c r="N386" s="448"/>
      <c r="O386" s="448"/>
      <c r="P386" s="448"/>
      <c r="Q386" s="448"/>
      <c r="R386" s="448"/>
      <c r="S386" s="448"/>
    </row>
    <row r="387" spans="1:19" x14ac:dyDescent="0.15">
      <c r="A387" s="448"/>
      <c r="B387" s="448"/>
      <c r="C387" s="448"/>
      <c r="D387" s="448"/>
      <c r="E387" s="448"/>
      <c r="F387" s="448"/>
      <c r="G387" s="448"/>
      <c r="H387" s="448"/>
      <c r="I387" s="448"/>
      <c r="J387" s="448"/>
      <c r="K387" s="448"/>
      <c r="L387" s="448"/>
      <c r="M387" s="448"/>
      <c r="N387" s="448"/>
      <c r="O387" s="448"/>
      <c r="P387" s="448"/>
      <c r="Q387" s="448"/>
      <c r="R387" s="448"/>
      <c r="S387" s="448"/>
    </row>
    <row r="388" spans="1:19" x14ac:dyDescent="0.15">
      <c r="A388" s="448"/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</row>
    <row r="389" spans="1:19" x14ac:dyDescent="0.15">
      <c r="A389" s="448"/>
      <c r="B389" s="448"/>
      <c r="C389" s="448"/>
      <c r="D389" s="448"/>
      <c r="E389" s="448"/>
      <c r="F389" s="448"/>
      <c r="G389" s="448"/>
      <c r="H389" s="448"/>
      <c r="I389" s="448"/>
      <c r="J389" s="448"/>
      <c r="K389" s="448"/>
      <c r="L389" s="448"/>
      <c r="M389" s="448"/>
      <c r="N389" s="448"/>
      <c r="O389" s="448"/>
      <c r="P389" s="448"/>
      <c r="Q389" s="448"/>
      <c r="R389" s="448"/>
      <c r="S389" s="448"/>
    </row>
    <row r="390" spans="1:19" x14ac:dyDescent="0.15">
      <c r="A390" s="448"/>
      <c r="B390" s="448"/>
      <c r="C390" s="448"/>
      <c r="D390" s="448"/>
      <c r="E390" s="448"/>
      <c r="F390" s="448"/>
      <c r="G390" s="448"/>
      <c r="H390" s="448"/>
      <c r="I390" s="448"/>
      <c r="J390" s="448"/>
      <c r="K390" s="448"/>
      <c r="L390" s="448"/>
      <c r="M390" s="448"/>
      <c r="N390" s="448"/>
      <c r="O390" s="448"/>
      <c r="P390" s="448"/>
      <c r="Q390" s="448"/>
      <c r="R390" s="448"/>
      <c r="S390" s="448"/>
    </row>
    <row r="391" spans="1:19" x14ac:dyDescent="0.15">
      <c r="A391" s="448"/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</row>
    <row r="392" spans="1:19" x14ac:dyDescent="0.15">
      <c r="A392" s="448"/>
      <c r="B392" s="448"/>
      <c r="C392" s="448"/>
      <c r="D392" s="448"/>
      <c r="E392" s="448"/>
      <c r="F392" s="448"/>
      <c r="G392" s="448"/>
      <c r="H392" s="448"/>
      <c r="I392" s="448"/>
      <c r="J392" s="448"/>
      <c r="K392" s="448"/>
      <c r="L392" s="448"/>
      <c r="M392" s="448"/>
      <c r="N392" s="448"/>
      <c r="O392" s="448"/>
      <c r="P392" s="448"/>
      <c r="Q392" s="448"/>
      <c r="R392" s="448"/>
      <c r="S392" s="448"/>
    </row>
    <row r="393" spans="1:19" x14ac:dyDescent="0.15">
      <c r="A393" s="448"/>
      <c r="B393" s="448"/>
      <c r="C393" s="448"/>
      <c r="D393" s="448"/>
      <c r="E393" s="448"/>
      <c r="F393" s="448"/>
      <c r="G393" s="448"/>
      <c r="H393" s="448"/>
      <c r="I393" s="448"/>
      <c r="J393" s="448"/>
      <c r="K393" s="448"/>
      <c r="L393" s="448"/>
      <c r="M393" s="448"/>
      <c r="N393" s="448"/>
      <c r="O393" s="448"/>
      <c r="P393" s="448"/>
      <c r="Q393" s="448"/>
      <c r="R393" s="448"/>
      <c r="S393" s="448"/>
    </row>
    <row r="394" spans="1:19" x14ac:dyDescent="0.15">
      <c r="A394" s="448"/>
      <c r="B394" s="448"/>
      <c r="C394" s="448"/>
      <c r="D394" s="448"/>
      <c r="E394" s="448"/>
      <c r="F394" s="448"/>
      <c r="G394" s="448"/>
      <c r="H394" s="448"/>
      <c r="I394" s="448"/>
      <c r="J394" s="448"/>
      <c r="K394" s="448"/>
      <c r="L394" s="448"/>
      <c r="M394" s="448"/>
      <c r="N394" s="448"/>
      <c r="O394" s="448"/>
      <c r="P394" s="448"/>
      <c r="Q394" s="448"/>
      <c r="R394" s="448"/>
      <c r="S394" s="448"/>
    </row>
    <row r="395" spans="1:19" x14ac:dyDescent="0.15">
      <c r="A395" s="448"/>
      <c r="B395" s="448"/>
      <c r="C395" s="448"/>
      <c r="D395" s="448"/>
      <c r="E395" s="448"/>
      <c r="F395" s="448"/>
      <c r="G395" s="448"/>
      <c r="H395" s="448"/>
      <c r="I395" s="448"/>
      <c r="J395" s="448"/>
      <c r="K395" s="448"/>
      <c r="L395" s="448"/>
      <c r="M395" s="448"/>
      <c r="N395" s="448"/>
      <c r="O395" s="448"/>
      <c r="P395" s="448"/>
      <c r="Q395" s="448"/>
      <c r="R395" s="448"/>
      <c r="S395" s="448"/>
    </row>
    <row r="396" spans="1:19" x14ac:dyDescent="0.15">
      <c r="A396" s="448"/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448"/>
      <c r="Q396" s="448"/>
      <c r="R396" s="448"/>
      <c r="S396" s="448"/>
    </row>
    <row r="397" spans="1:19" x14ac:dyDescent="0.15">
      <c r="A397" s="448"/>
      <c r="B397" s="448"/>
      <c r="C397" s="448"/>
      <c r="D397" s="448"/>
      <c r="E397" s="448"/>
      <c r="F397" s="448"/>
      <c r="G397" s="448"/>
      <c r="H397" s="448"/>
      <c r="I397" s="448"/>
      <c r="J397" s="448"/>
      <c r="K397" s="448"/>
      <c r="L397" s="448"/>
      <c r="M397" s="448"/>
      <c r="N397" s="448"/>
      <c r="O397" s="448"/>
      <c r="P397" s="448"/>
      <c r="Q397" s="448"/>
      <c r="R397" s="448"/>
      <c r="S397" s="448"/>
    </row>
    <row r="398" spans="1:19" x14ac:dyDescent="0.15">
      <c r="A398" s="448"/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</row>
    <row r="399" spans="1:19" x14ac:dyDescent="0.15">
      <c r="A399" s="448"/>
      <c r="B399" s="448"/>
      <c r="C399" s="448"/>
      <c r="D399" s="448"/>
      <c r="E399" s="448"/>
      <c r="F399" s="448"/>
      <c r="G399" s="448"/>
      <c r="H399" s="448"/>
      <c r="I399" s="448"/>
      <c r="J399" s="448"/>
      <c r="K399" s="448"/>
      <c r="L399" s="448"/>
      <c r="M399" s="448"/>
      <c r="N399" s="448"/>
      <c r="O399" s="448"/>
      <c r="P399" s="448"/>
      <c r="Q399" s="448"/>
      <c r="R399" s="448"/>
      <c r="S399" s="448"/>
    </row>
    <row r="400" spans="1:19" x14ac:dyDescent="0.15">
      <c r="A400" s="448"/>
      <c r="B400" s="448"/>
      <c r="C400" s="448"/>
      <c r="D400" s="448"/>
      <c r="E400" s="448"/>
      <c r="F400" s="448"/>
      <c r="G400" s="448"/>
      <c r="H400" s="448"/>
      <c r="I400" s="448"/>
      <c r="J400" s="448"/>
      <c r="K400" s="448"/>
      <c r="L400" s="448"/>
      <c r="M400" s="448"/>
      <c r="N400" s="448"/>
      <c r="O400" s="448"/>
      <c r="P400" s="448"/>
      <c r="Q400" s="448"/>
      <c r="R400" s="448"/>
      <c r="S400" s="448"/>
    </row>
    <row r="401" spans="1:19" x14ac:dyDescent="0.15">
      <c r="A401" s="448"/>
      <c r="B401" s="448"/>
      <c r="C401" s="448"/>
      <c r="D401" s="448"/>
      <c r="E401" s="448"/>
      <c r="F401" s="448"/>
      <c r="G401" s="448"/>
      <c r="H401" s="448"/>
      <c r="I401" s="448"/>
      <c r="J401" s="448"/>
      <c r="K401" s="448"/>
      <c r="L401" s="448"/>
      <c r="M401" s="448"/>
      <c r="N401" s="448"/>
      <c r="O401" s="448"/>
      <c r="P401" s="448"/>
      <c r="Q401" s="448"/>
      <c r="R401" s="448"/>
      <c r="S401" s="448"/>
    </row>
    <row r="402" spans="1:19" x14ac:dyDescent="0.15">
      <c r="A402" s="448"/>
      <c r="B402" s="448"/>
      <c r="C402" s="448"/>
      <c r="D402" s="448"/>
      <c r="E402" s="448"/>
      <c r="F402" s="448"/>
      <c r="G402" s="448"/>
      <c r="H402" s="448"/>
      <c r="I402" s="448"/>
      <c r="J402" s="448"/>
      <c r="K402" s="448"/>
      <c r="L402" s="448"/>
      <c r="M402" s="448"/>
      <c r="N402" s="448"/>
      <c r="O402" s="448"/>
      <c r="P402" s="448"/>
      <c r="Q402" s="448"/>
      <c r="R402" s="448"/>
      <c r="S402" s="448"/>
    </row>
    <row r="403" spans="1:19" x14ac:dyDescent="0.15">
      <c r="A403" s="448"/>
      <c r="B403" s="448"/>
      <c r="C403" s="448"/>
      <c r="D403" s="448"/>
      <c r="E403" s="448"/>
      <c r="F403" s="448"/>
      <c r="G403" s="448"/>
      <c r="H403" s="448"/>
      <c r="I403" s="448"/>
      <c r="J403" s="448"/>
      <c r="K403" s="448"/>
      <c r="L403" s="448"/>
      <c r="M403" s="448"/>
      <c r="N403" s="448"/>
      <c r="O403" s="448"/>
      <c r="P403" s="448"/>
      <c r="Q403" s="448"/>
      <c r="R403" s="448"/>
      <c r="S403" s="448"/>
    </row>
    <row r="404" spans="1:19" x14ac:dyDescent="0.15">
      <c r="A404" s="448"/>
      <c r="B404" s="448"/>
      <c r="C404" s="448"/>
      <c r="D404" s="448"/>
      <c r="E404" s="448"/>
      <c r="F404" s="448"/>
      <c r="G404" s="448"/>
      <c r="H404" s="448"/>
      <c r="I404" s="448"/>
      <c r="J404" s="448"/>
      <c r="K404" s="448"/>
      <c r="L404" s="448"/>
      <c r="M404" s="448"/>
      <c r="N404" s="448"/>
      <c r="O404" s="448"/>
      <c r="P404" s="448"/>
      <c r="Q404" s="448"/>
      <c r="R404" s="448"/>
      <c r="S404" s="448"/>
    </row>
    <row r="405" spans="1:19" x14ac:dyDescent="0.15">
      <c r="A405" s="448"/>
      <c r="B405" s="448"/>
      <c r="C405" s="448"/>
      <c r="D405" s="448"/>
      <c r="E405" s="448"/>
      <c r="F405" s="448"/>
      <c r="G405" s="448"/>
      <c r="H405" s="448"/>
      <c r="I405" s="448"/>
      <c r="J405" s="448"/>
      <c r="K405" s="448"/>
      <c r="L405" s="448"/>
      <c r="M405" s="448"/>
      <c r="N405" s="448"/>
      <c r="O405" s="448"/>
      <c r="P405" s="448"/>
      <c r="Q405" s="448"/>
      <c r="R405" s="448"/>
      <c r="S405" s="448"/>
    </row>
    <row r="406" spans="1:19" x14ac:dyDescent="0.15">
      <c r="A406" s="448"/>
      <c r="B406" s="448"/>
      <c r="C406" s="448"/>
      <c r="D406" s="448"/>
      <c r="E406" s="448"/>
      <c r="F406" s="448"/>
      <c r="G406" s="448"/>
      <c r="H406" s="448"/>
      <c r="I406" s="448"/>
      <c r="J406" s="448"/>
      <c r="K406" s="448"/>
      <c r="L406" s="448"/>
      <c r="M406" s="448"/>
      <c r="N406" s="448"/>
      <c r="O406" s="448"/>
      <c r="P406" s="448"/>
      <c r="Q406" s="448"/>
      <c r="R406" s="448"/>
      <c r="S406" s="448"/>
    </row>
    <row r="407" spans="1:19" x14ac:dyDescent="0.15">
      <c r="A407" s="448"/>
      <c r="B407" s="448"/>
      <c r="C407" s="448"/>
      <c r="D407" s="448"/>
      <c r="E407" s="448"/>
      <c r="F407" s="448"/>
      <c r="G407" s="448"/>
      <c r="H407" s="448"/>
      <c r="I407" s="448"/>
      <c r="J407" s="448"/>
      <c r="K407" s="448"/>
      <c r="L407" s="448"/>
      <c r="M407" s="448"/>
      <c r="N407" s="448"/>
      <c r="O407" s="448"/>
      <c r="P407" s="448"/>
      <c r="Q407" s="448"/>
      <c r="R407" s="448"/>
      <c r="S407" s="448"/>
    </row>
    <row r="408" spans="1:19" x14ac:dyDescent="0.15">
      <c r="A408" s="448"/>
      <c r="B408" s="448"/>
      <c r="C408" s="448"/>
      <c r="D408" s="448"/>
      <c r="E408" s="448"/>
      <c r="F408" s="448"/>
      <c r="G408" s="448"/>
      <c r="H408" s="448"/>
      <c r="I408" s="448"/>
      <c r="J408" s="448"/>
      <c r="K408" s="448"/>
      <c r="L408" s="448"/>
      <c r="M408" s="448"/>
      <c r="N408" s="448"/>
      <c r="O408" s="448"/>
      <c r="P408" s="448"/>
      <c r="Q408" s="448"/>
      <c r="R408" s="448"/>
      <c r="S408" s="448"/>
    </row>
    <row r="409" spans="1:19" x14ac:dyDescent="0.15">
      <c r="A409" s="448"/>
      <c r="B409" s="448"/>
      <c r="C409" s="448"/>
      <c r="D409" s="448"/>
      <c r="E409" s="448"/>
      <c r="F409" s="448"/>
      <c r="G409" s="448"/>
      <c r="H409" s="448"/>
      <c r="I409" s="448"/>
      <c r="J409" s="448"/>
      <c r="K409" s="448"/>
      <c r="L409" s="448"/>
      <c r="M409" s="448"/>
      <c r="N409" s="448"/>
      <c r="O409" s="448"/>
      <c r="P409" s="448"/>
      <c r="Q409" s="448"/>
      <c r="R409" s="448"/>
      <c r="S409" s="448"/>
    </row>
    <row r="410" spans="1:19" x14ac:dyDescent="0.15">
      <c r="A410" s="448"/>
      <c r="B410" s="448"/>
      <c r="C410" s="448"/>
      <c r="D410" s="448"/>
      <c r="E410" s="448"/>
      <c r="F410" s="448"/>
      <c r="G410" s="448"/>
      <c r="H410" s="448"/>
      <c r="I410" s="448"/>
      <c r="J410" s="448"/>
      <c r="K410" s="448"/>
      <c r="L410" s="448"/>
      <c r="M410" s="448"/>
      <c r="N410" s="448"/>
      <c r="O410" s="448"/>
      <c r="P410" s="448"/>
      <c r="Q410" s="448"/>
      <c r="R410" s="448"/>
      <c r="S410" s="448"/>
    </row>
    <row r="411" spans="1:19" x14ac:dyDescent="0.15">
      <c r="A411" s="448"/>
      <c r="B411" s="448"/>
      <c r="C411" s="448"/>
      <c r="D411" s="448"/>
      <c r="E411" s="448"/>
      <c r="F411" s="448"/>
      <c r="G411" s="448"/>
      <c r="H411" s="448"/>
      <c r="I411" s="448"/>
      <c r="J411" s="448"/>
      <c r="K411" s="448"/>
      <c r="L411" s="448"/>
      <c r="M411" s="448"/>
      <c r="N411" s="448"/>
      <c r="O411" s="448"/>
      <c r="P411" s="448"/>
      <c r="Q411" s="448"/>
      <c r="R411" s="448"/>
      <c r="S411" s="448"/>
    </row>
    <row r="412" spans="1:19" x14ac:dyDescent="0.15">
      <c r="A412" s="448"/>
      <c r="B412" s="448"/>
      <c r="C412" s="448"/>
      <c r="D412" s="448"/>
      <c r="E412" s="448"/>
      <c r="F412" s="448"/>
      <c r="G412" s="448"/>
      <c r="H412" s="448"/>
      <c r="I412" s="448"/>
      <c r="J412" s="448"/>
      <c r="K412" s="448"/>
      <c r="L412" s="448"/>
      <c r="M412" s="448"/>
      <c r="N412" s="448"/>
      <c r="O412" s="448"/>
      <c r="P412" s="448"/>
      <c r="Q412" s="448"/>
      <c r="R412" s="448"/>
      <c r="S412" s="448"/>
    </row>
    <row r="413" spans="1:19" x14ac:dyDescent="0.15">
      <c r="A413" s="448"/>
      <c r="B413" s="448"/>
      <c r="C413" s="448"/>
      <c r="D413" s="448"/>
      <c r="E413" s="448"/>
      <c r="F413" s="448"/>
      <c r="G413" s="448"/>
      <c r="H413" s="448"/>
      <c r="I413" s="448"/>
      <c r="J413" s="448"/>
      <c r="K413" s="448"/>
      <c r="L413" s="448"/>
      <c r="M413" s="448"/>
      <c r="N413" s="448"/>
      <c r="O413" s="448"/>
      <c r="P413" s="448"/>
      <c r="Q413" s="448"/>
      <c r="R413" s="448"/>
      <c r="S413" s="448"/>
    </row>
    <row r="414" spans="1:19" x14ac:dyDescent="0.15">
      <c r="A414" s="448"/>
      <c r="B414" s="448"/>
      <c r="C414" s="448"/>
      <c r="D414" s="448"/>
      <c r="E414" s="448"/>
      <c r="F414" s="448"/>
      <c r="G414" s="448"/>
      <c r="H414" s="448"/>
      <c r="I414" s="448"/>
      <c r="J414" s="448"/>
      <c r="K414" s="448"/>
      <c r="L414" s="448"/>
      <c r="M414" s="448"/>
      <c r="N414" s="448"/>
      <c r="O414" s="448"/>
      <c r="P414" s="448"/>
      <c r="Q414" s="448"/>
      <c r="R414" s="448"/>
      <c r="S414" s="448"/>
    </row>
    <row r="415" spans="1:19" x14ac:dyDescent="0.15">
      <c r="A415" s="448"/>
      <c r="B415" s="448"/>
      <c r="C415" s="448"/>
      <c r="D415" s="448"/>
      <c r="E415" s="448"/>
      <c r="F415" s="448"/>
      <c r="G415" s="448"/>
      <c r="H415" s="448"/>
      <c r="I415" s="448"/>
      <c r="J415" s="448"/>
      <c r="K415" s="448"/>
      <c r="L415" s="448"/>
      <c r="M415" s="448"/>
      <c r="N415" s="448"/>
      <c r="O415" s="448"/>
      <c r="P415" s="448"/>
      <c r="Q415" s="448"/>
      <c r="R415" s="448"/>
      <c r="S415" s="448"/>
    </row>
    <row r="416" spans="1:19" x14ac:dyDescent="0.15">
      <c r="A416" s="448"/>
      <c r="B416" s="448"/>
      <c r="C416" s="448"/>
      <c r="D416" s="448"/>
      <c r="E416" s="448"/>
      <c r="F416" s="448"/>
      <c r="G416" s="448"/>
      <c r="H416" s="448"/>
      <c r="I416" s="448"/>
      <c r="J416" s="448"/>
      <c r="K416" s="448"/>
      <c r="L416" s="448"/>
      <c r="M416" s="448"/>
      <c r="N416" s="448"/>
      <c r="O416" s="448"/>
      <c r="P416" s="448"/>
      <c r="Q416" s="448"/>
      <c r="R416" s="448"/>
      <c r="S416" s="448"/>
    </row>
    <row r="417" spans="1:19" x14ac:dyDescent="0.15">
      <c r="A417" s="448"/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</row>
    <row r="418" spans="1:19" x14ac:dyDescent="0.15">
      <c r="A418" s="448"/>
      <c r="B418" s="448"/>
      <c r="C418" s="448"/>
      <c r="D418" s="448"/>
      <c r="E418" s="448"/>
      <c r="F418" s="448"/>
      <c r="G418" s="448"/>
      <c r="H418" s="448"/>
      <c r="I418" s="448"/>
      <c r="J418" s="448"/>
      <c r="K418" s="448"/>
      <c r="L418" s="448"/>
      <c r="M418" s="448"/>
      <c r="N418" s="448"/>
      <c r="O418" s="448"/>
      <c r="P418" s="448"/>
      <c r="Q418" s="448"/>
      <c r="R418" s="448"/>
      <c r="S418" s="448"/>
    </row>
    <row r="419" spans="1:19" x14ac:dyDescent="0.15">
      <c r="A419" s="448"/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448"/>
      <c r="Q419" s="448"/>
      <c r="R419" s="448"/>
      <c r="S419" s="448"/>
    </row>
    <row r="420" spans="1:19" x14ac:dyDescent="0.15">
      <c r="A420" s="448"/>
      <c r="B420" s="448"/>
      <c r="C420" s="448"/>
      <c r="D420" s="448"/>
      <c r="E420" s="448"/>
      <c r="F420" s="448"/>
      <c r="G420" s="448"/>
      <c r="H420" s="448"/>
      <c r="I420" s="448"/>
      <c r="J420" s="448"/>
      <c r="K420" s="448"/>
      <c r="L420" s="448"/>
      <c r="M420" s="448"/>
      <c r="N420" s="448"/>
      <c r="O420" s="448"/>
      <c r="P420" s="448"/>
      <c r="Q420" s="448"/>
      <c r="R420" s="448"/>
      <c r="S420" s="448"/>
    </row>
    <row r="421" spans="1:19" x14ac:dyDescent="0.15">
      <c r="A421" s="448"/>
      <c r="B421" s="448"/>
      <c r="C421" s="448"/>
      <c r="D421" s="448"/>
      <c r="E421" s="448"/>
      <c r="F421" s="448"/>
      <c r="G421" s="448"/>
      <c r="H421" s="448"/>
      <c r="I421" s="448"/>
      <c r="J421" s="448"/>
      <c r="K421" s="448"/>
      <c r="L421" s="448"/>
      <c r="M421" s="448"/>
      <c r="N421" s="448"/>
      <c r="O421" s="448"/>
      <c r="P421" s="448"/>
      <c r="Q421" s="448"/>
      <c r="R421" s="448"/>
      <c r="S421" s="448"/>
    </row>
    <row r="422" spans="1:19" x14ac:dyDescent="0.15">
      <c r="A422" s="448"/>
      <c r="B422" s="448"/>
      <c r="C422" s="448"/>
      <c r="D422" s="448"/>
      <c r="E422" s="448"/>
      <c r="F422" s="448"/>
      <c r="G422" s="448"/>
      <c r="H422" s="448"/>
      <c r="I422" s="448"/>
      <c r="J422" s="448"/>
      <c r="K422" s="448"/>
      <c r="L422" s="448"/>
      <c r="M422" s="448"/>
      <c r="N422" s="448"/>
      <c r="O422" s="448"/>
      <c r="P422" s="448"/>
      <c r="Q422" s="448"/>
      <c r="R422" s="448"/>
      <c r="S422" s="448"/>
    </row>
    <row r="423" spans="1:19" x14ac:dyDescent="0.15">
      <c r="A423" s="448"/>
      <c r="B423" s="448"/>
      <c r="C423" s="448"/>
      <c r="D423" s="448"/>
      <c r="E423" s="448"/>
      <c r="F423" s="448"/>
      <c r="G423" s="448"/>
      <c r="H423" s="448"/>
      <c r="I423" s="448"/>
      <c r="J423" s="448"/>
      <c r="K423" s="448"/>
      <c r="L423" s="448"/>
      <c r="M423" s="448"/>
      <c r="N423" s="448"/>
      <c r="O423" s="448"/>
      <c r="P423" s="448"/>
      <c r="Q423" s="448"/>
      <c r="R423" s="448"/>
      <c r="S423" s="448"/>
    </row>
    <row r="424" spans="1:19" x14ac:dyDescent="0.15">
      <c r="A424" s="448"/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</row>
    <row r="425" spans="1:19" x14ac:dyDescent="0.15">
      <c r="A425" s="448"/>
      <c r="B425" s="448"/>
      <c r="C425" s="448"/>
      <c r="D425" s="448"/>
      <c r="E425" s="448"/>
      <c r="F425" s="448"/>
      <c r="G425" s="448"/>
      <c r="H425" s="448"/>
      <c r="I425" s="448"/>
      <c r="J425" s="448"/>
      <c r="K425" s="448"/>
      <c r="L425" s="448"/>
      <c r="M425" s="448"/>
      <c r="N425" s="448"/>
      <c r="O425" s="448"/>
      <c r="P425" s="448"/>
      <c r="Q425" s="448"/>
      <c r="R425" s="448"/>
      <c r="S425" s="448"/>
    </row>
    <row r="426" spans="1:19" x14ac:dyDescent="0.15">
      <c r="A426" s="448"/>
      <c r="B426" s="448"/>
      <c r="C426" s="448"/>
      <c r="D426" s="448"/>
      <c r="E426" s="448"/>
      <c r="F426" s="448"/>
      <c r="G426" s="448"/>
      <c r="H426" s="448"/>
      <c r="I426" s="448"/>
      <c r="J426" s="448"/>
      <c r="K426" s="448"/>
      <c r="L426" s="448"/>
      <c r="M426" s="448"/>
      <c r="N426" s="448"/>
      <c r="O426" s="448"/>
      <c r="P426" s="448"/>
      <c r="Q426" s="448"/>
      <c r="R426" s="448"/>
      <c r="S426" s="448"/>
    </row>
    <row r="427" spans="1:19" x14ac:dyDescent="0.15">
      <c r="A427" s="448"/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</row>
    <row r="428" spans="1:19" x14ac:dyDescent="0.15">
      <c r="A428" s="448"/>
      <c r="B428" s="448"/>
      <c r="C428" s="448"/>
      <c r="D428" s="448"/>
      <c r="E428" s="448"/>
      <c r="F428" s="448"/>
      <c r="G428" s="448"/>
      <c r="H428" s="448"/>
      <c r="I428" s="448"/>
      <c r="J428" s="448"/>
      <c r="K428" s="448"/>
      <c r="L428" s="448"/>
      <c r="M428" s="448"/>
      <c r="N428" s="448"/>
      <c r="O428" s="448"/>
      <c r="P428" s="448"/>
      <c r="Q428" s="448"/>
      <c r="R428" s="448"/>
      <c r="S428" s="448"/>
    </row>
    <row r="429" spans="1:19" x14ac:dyDescent="0.15">
      <c r="A429" s="448"/>
      <c r="B429" s="448"/>
      <c r="C429" s="448"/>
      <c r="D429" s="448"/>
      <c r="E429" s="448"/>
      <c r="F429" s="448"/>
      <c r="G429" s="448"/>
      <c r="H429" s="448"/>
      <c r="I429" s="448"/>
      <c r="J429" s="448"/>
      <c r="K429" s="448"/>
      <c r="L429" s="448"/>
      <c r="M429" s="448"/>
      <c r="N429" s="448"/>
      <c r="O429" s="448"/>
      <c r="P429" s="448"/>
      <c r="Q429" s="448"/>
      <c r="R429" s="448"/>
      <c r="S429" s="448"/>
    </row>
    <row r="430" spans="1:19" x14ac:dyDescent="0.15">
      <c r="A430" s="448"/>
      <c r="B430" s="448"/>
      <c r="C430" s="448"/>
      <c r="D430" s="448"/>
      <c r="E430" s="448"/>
      <c r="F430" s="448"/>
      <c r="G430" s="448"/>
      <c r="H430" s="448"/>
      <c r="I430" s="448"/>
      <c r="J430" s="448"/>
      <c r="K430" s="448"/>
      <c r="L430" s="448"/>
      <c r="M430" s="448"/>
      <c r="N430" s="448"/>
      <c r="O430" s="448"/>
      <c r="P430" s="448"/>
      <c r="Q430" s="448"/>
      <c r="R430" s="448"/>
      <c r="S430" s="448"/>
    </row>
    <row r="431" spans="1:19" x14ac:dyDescent="0.15">
      <c r="A431" s="448"/>
      <c r="B431" s="448"/>
      <c r="C431" s="448"/>
      <c r="D431" s="448"/>
      <c r="E431" s="448"/>
      <c r="F431" s="448"/>
      <c r="G431" s="448"/>
      <c r="H431" s="448"/>
      <c r="I431" s="448"/>
      <c r="J431" s="448"/>
      <c r="K431" s="448"/>
      <c r="L431" s="448"/>
      <c r="M431" s="448"/>
      <c r="N431" s="448"/>
      <c r="O431" s="448"/>
      <c r="P431" s="448"/>
      <c r="Q431" s="448"/>
      <c r="R431" s="448"/>
      <c r="S431" s="448"/>
    </row>
    <row r="432" spans="1:19" x14ac:dyDescent="0.15">
      <c r="A432" s="448"/>
      <c r="B432" s="448"/>
      <c r="C432" s="448"/>
      <c r="D432" s="448"/>
      <c r="E432" s="448"/>
      <c r="F432" s="448"/>
      <c r="G432" s="448"/>
      <c r="H432" s="448"/>
      <c r="I432" s="448"/>
      <c r="J432" s="448"/>
      <c r="K432" s="448"/>
      <c r="L432" s="448"/>
      <c r="M432" s="448"/>
      <c r="N432" s="448"/>
      <c r="O432" s="448"/>
      <c r="P432" s="448"/>
      <c r="Q432" s="448"/>
      <c r="R432" s="448"/>
      <c r="S432" s="448"/>
    </row>
    <row r="433" spans="1:19" x14ac:dyDescent="0.15">
      <c r="A433" s="448"/>
      <c r="B433" s="448"/>
      <c r="C433" s="448"/>
      <c r="D433" s="448"/>
      <c r="E433" s="448"/>
      <c r="F433" s="448"/>
      <c r="G433" s="448"/>
      <c r="H433" s="448"/>
      <c r="I433" s="448"/>
      <c r="J433" s="448"/>
      <c r="K433" s="448"/>
      <c r="L433" s="448"/>
      <c r="M433" s="448"/>
      <c r="N433" s="448"/>
      <c r="O433" s="448"/>
      <c r="P433" s="448"/>
      <c r="Q433" s="448"/>
      <c r="R433" s="448"/>
      <c r="S433" s="448"/>
    </row>
    <row r="434" spans="1:19" x14ac:dyDescent="0.15">
      <c r="A434" s="448"/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</row>
    <row r="435" spans="1:19" x14ac:dyDescent="0.15">
      <c r="A435" s="448"/>
      <c r="B435" s="448"/>
      <c r="C435" s="448"/>
      <c r="D435" s="448"/>
      <c r="E435" s="448"/>
      <c r="F435" s="448"/>
      <c r="G435" s="448"/>
      <c r="H435" s="448"/>
      <c r="I435" s="448"/>
      <c r="J435" s="448"/>
      <c r="K435" s="448"/>
      <c r="L435" s="448"/>
      <c r="M435" s="448"/>
      <c r="N435" s="448"/>
      <c r="O435" s="448"/>
      <c r="P435" s="448"/>
      <c r="Q435" s="448"/>
      <c r="R435" s="448"/>
      <c r="S435" s="448"/>
    </row>
    <row r="436" spans="1:19" x14ac:dyDescent="0.15">
      <c r="A436" s="448"/>
      <c r="B436" s="448"/>
      <c r="C436" s="448"/>
      <c r="D436" s="448"/>
      <c r="E436" s="448"/>
      <c r="F436" s="448"/>
      <c r="G436" s="448"/>
      <c r="H436" s="448"/>
      <c r="I436" s="448"/>
      <c r="J436" s="448"/>
      <c r="K436" s="448"/>
      <c r="L436" s="448"/>
      <c r="M436" s="448"/>
      <c r="N436" s="448"/>
      <c r="O436" s="448"/>
      <c r="P436" s="448"/>
      <c r="Q436" s="448"/>
      <c r="R436" s="448"/>
      <c r="S436" s="448"/>
    </row>
    <row r="437" spans="1:19" x14ac:dyDescent="0.15">
      <c r="A437" s="448"/>
      <c r="B437" s="448"/>
      <c r="C437" s="448"/>
      <c r="D437" s="448"/>
      <c r="E437" s="448"/>
      <c r="F437" s="448"/>
      <c r="G437" s="448"/>
      <c r="H437" s="448"/>
      <c r="I437" s="448"/>
      <c r="J437" s="448"/>
      <c r="K437" s="448"/>
      <c r="L437" s="448"/>
      <c r="M437" s="448"/>
      <c r="N437" s="448"/>
      <c r="O437" s="448"/>
      <c r="P437" s="448"/>
      <c r="Q437" s="448"/>
      <c r="R437" s="448"/>
      <c r="S437" s="448"/>
    </row>
    <row r="438" spans="1:19" x14ac:dyDescent="0.15">
      <c r="A438" s="448"/>
      <c r="B438" s="448"/>
      <c r="C438" s="448"/>
      <c r="D438" s="448"/>
      <c r="E438" s="448"/>
      <c r="F438" s="448"/>
      <c r="G438" s="448"/>
      <c r="H438" s="448"/>
      <c r="I438" s="448"/>
      <c r="J438" s="448"/>
      <c r="K438" s="448"/>
      <c r="L438" s="448"/>
      <c r="M438" s="448"/>
      <c r="N438" s="448"/>
      <c r="O438" s="448"/>
      <c r="P438" s="448"/>
      <c r="Q438" s="448"/>
      <c r="R438" s="448"/>
      <c r="S438" s="448"/>
    </row>
    <row r="439" spans="1:19" x14ac:dyDescent="0.15">
      <c r="A439" s="448"/>
      <c r="B439" s="448"/>
      <c r="C439" s="448"/>
      <c r="D439" s="448"/>
      <c r="E439" s="448"/>
      <c r="F439" s="448"/>
      <c r="G439" s="448"/>
      <c r="H439" s="448"/>
      <c r="I439" s="448"/>
      <c r="J439" s="448"/>
      <c r="K439" s="448"/>
      <c r="L439" s="448"/>
      <c r="M439" s="448"/>
      <c r="N439" s="448"/>
      <c r="O439" s="448"/>
      <c r="P439" s="448"/>
      <c r="Q439" s="448"/>
      <c r="R439" s="448"/>
      <c r="S439" s="448"/>
    </row>
    <row r="440" spans="1:19" x14ac:dyDescent="0.15">
      <c r="A440" s="448"/>
      <c r="B440" s="448"/>
      <c r="C440" s="448"/>
      <c r="D440" s="448"/>
      <c r="E440" s="448"/>
      <c r="F440" s="448"/>
      <c r="G440" s="448"/>
      <c r="H440" s="448"/>
      <c r="I440" s="448"/>
      <c r="J440" s="448"/>
      <c r="K440" s="448"/>
      <c r="L440" s="448"/>
      <c r="M440" s="448"/>
      <c r="N440" s="448"/>
      <c r="O440" s="448"/>
      <c r="P440" s="448"/>
      <c r="Q440" s="448"/>
      <c r="R440" s="448"/>
      <c r="S440" s="448"/>
    </row>
    <row r="441" spans="1:19" x14ac:dyDescent="0.15">
      <c r="A441" s="448"/>
      <c r="B441" s="448"/>
      <c r="C441" s="448"/>
      <c r="D441" s="448"/>
      <c r="E441" s="448"/>
      <c r="F441" s="448"/>
      <c r="G441" s="448"/>
      <c r="H441" s="448"/>
      <c r="I441" s="448"/>
      <c r="J441" s="448"/>
      <c r="K441" s="448"/>
      <c r="L441" s="448"/>
      <c r="M441" s="448"/>
      <c r="N441" s="448"/>
      <c r="O441" s="448"/>
      <c r="P441" s="448"/>
      <c r="Q441" s="448"/>
      <c r="R441" s="448"/>
      <c r="S441" s="448"/>
    </row>
    <row r="442" spans="1:19" x14ac:dyDescent="0.15">
      <c r="A442" s="448"/>
      <c r="B442" s="448"/>
      <c r="C442" s="448"/>
      <c r="D442" s="448"/>
      <c r="E442" s="448"/>
      <c r="F442" s="448"/>
      <c r="G442" s="448"/>
      <c r="H442" s="448"/>
      <c r="I442" s="448"/>
      <c r="J442" s="448"/>
      <c r="K442" s="448"/>
      <c r="L442" s="448"/>
      <c r="M442" s="448"/>
      <c r="N442" s="448"/>
      <c r="O442" s="448"/>
      <c r="P442" s="448"/>
      <c r="Q442" s="448"/>
      <c r="R442" s="448"/>
      <c r="S442" s="448"/>
    </row>
    <row r="443" spans="1:19" x14ac:dyDescent="0.15">
      <c r="A443" s="448"/>
      <c r="B443" s="448"/>
      <c r="C443" s="448"/>
      <c r="D443" s="448"/>
      <c r="E443" s="448"/>
      <c r="F443" s="448"/>
      <c r="G443" s="448"/>
      <c r="H443" s="448"/>
      <c r="I443" s="448"/>
      <c r="J443" s="448"/>
      <c r="K443" s="448"/>
      <c r="L443" s="448"/>
      <c r="M443" s="448"/>
      <c r="N443" s="448"/>
      <c r="O443" s="448"/>
      <c r="P443" s="448"/>
      <c r="Q443" s="448"/>
      <c r="R443" s="448"/>
      <c r="S443" s="448"/>
    </row>
    <row r="444" spans="1:19" x14ac:dyDescent="0.15">
      <c r="A444" s="448"/>
      <c r="B444" s="448"/>
      <c r="C444" s="448"/>
      <c r="D444" s="448"/>
      <c r="E444" s="448"/>
      <c r="F444" s="448"/>
      <c r="G444" s="448"/>
      <c r="H444" s="448"/>
      <c r="I444" s="448"/>
      <c r="J444" s="448"/>
      <c r="K444" s="448"/>
      <c r="L444" s="448"/>
      <c r="M444" s="448"/>
      <c r="N444" s="448"/>
      <c r="O444" s="448"/>
      <c r="P444" s="448"/>
      <c r="Q444" s="448"/>
      <c r="R444" s="448"/>
      <c r="S444" s="448"/>
    </row>
    <row r="445" spans="1:19" x14ac:dyDescent="0.15">
      <c r="A445" s="448"/>
      <c r="B445" s="448"/>
      <c r="C445" s="448"/>
      <c r="D445" s="448"/>
      <c r="E445" s="448"/>
      <c r="F445" s="448"/>
      <c r="G445" s="448"/>
      <c r="H445" s="448"/>
      <c r="I445" s="448"/>
      <c r="J445" s="448"/>
      <c r="K445" s="448"/>
      <c r="L445" s="448"/>
      <c r="M445" s="448"/>
      <c r="N445" s="448"/>
      <c r="O445" s="448"/>
      <c r="P445" s="448"/>
      <c r="Q445" s="448"/>
      <c r="R445" s="448"/>
      <c r="S445" s="448"/>
    </row>
    <row r="446" spans="1:19" x14ac:dyDescent="0.15">
      <c r="A446" s="448"/>
      <c r="B446" s="448"/>
      <c r="C446" s="448"/>
      <c r="D446" s="448"/>
      <c r="E446" s="448"/>
      <c r="F446" s="448"/>
      <c r="G446" s="448"/>
      <c r="H446" s="448"/>
      <c r="I446" s="448"/>
      <c r="J446" s="448"/>
      <c r="K446" s="448"/>
      <c r="L446" s="448"/>
      <c r="M446" s="448"/>
      <c r="N446" s="448"/>
      <c r="O446" s="448"/>
      <c r="P446" s="448"/>
      <c r="Q446" s="448"/>
      <c r="R446" s="448"/>
      <c r="S446" s="448"/>
    </row>
    <row r="447" spans="1:19" x14ac:dyDescent="0.15">
      <c r="A447" s="448"/>
      <c r="B447" s="448"/>
      <c r="C447" s="448"/>
      <c r="D447" s="448"/>
      <c r="E447" s="448"/>
      <c r="F447" s="448"/>
      <c r="G447" s="448"/>
      <c r="H447" s="448"/>
      <c r="I447" s="448"/>
      <c r="J447" s="448"/>
      <c r="K447" s="448"/>
      <c r="L447" s="448"/>
      <c r="M447" s="448"/>
      <c r="N447" s="448"/>
      <c r="O447" s="448"/>
      <c r="P447" s="448"/>
      <c r="Q447" s="448"/>
      <c r="R447" s="448"/>
      <c r="S447" s="448"/>
    </row>
    <row r="448" spans="1:19" x14ac:dyDescent="0.15">
      <c r="A448" s="448"/>
      <c r="B448" s="448"/>
      <c r="C448" s="448"/>
      <c r="D448" s="448"/>
      <c r="E448" s="448"/>
      <c r="F448" s="448"/>
      <c r="G448" s="448"/>
      <c r="H448" s="448"/>
      <c r="I448" s="448"/>
      <c r="J448" s="448"/>
      <c r="K448" s="448"/>
      <c r="L448" s="448"/>
      <c r="M448" s="448"/>
      <c r="N448" s="448"/>
      <c r="O448" s="448"/>
      <c r="P448" s="448"/>
      <c r="Q448" s="448"/>
      <c r="R448" s="448"/>
      <c r="S448" s="448"/>
    </row>
    <row r="449" spans="1:19" x14ac:dyDescent="0.15">
      <c r="A449" s="448"/>
      <c r="B449" s="448"/>
      <c r="C449" s="448"/>
      <c r="D449" s="448"/>
      <c r="E449" s="448"/>
      <c r="F449" s="448"/>
      <c r="G449" s="448"/>
      <c r="H449" s="448"/>
      <c r="I449" s="448"/>
      <c r="J449" s="448"/>
      <c r="K449" s="448"/>
      <c r="L449" s="448"/>
      <c r="M449" s="448"/>
      <c r="N449" s="448"/>
      <c r="O449" s="448"/>
      <c r="P449" s="448"/>
      <c r="Q449" s="448"/>
      <c r="R449" s="448"/>
      <c r="S449" s="448"/>
    </row>
    <row r="450" spans="1:19" x14ac:dyDescent="0.15">
      <c r="A450" s="448"/>
      <c r="B450" s="448"/>
      <c r="C450" s="448"/>
      <c r="D450" s="448"/>
      <c r="E450" s="448"/>
      <c r="F450" s="448"/>
      <c r="G450" s="448"/>
      <c r="H450" s="448"/>
      <c r="I450" s="448"/>
      <c r="J450" s="448"/>
      <c r="K450" s="448"/>
      <c r="L450" s="448"/>
      <c r="M450" s="448"/>
      <c r="N450" s="448"/>
      <c r="O450" s="448"/>
      <c r="P450" s="448"/>
      <c r="Q450" s="448"/>
      <c r="R450" s="448"/>
      <c r="S450" s="448"/>
    </row>
    <row r="451" spans="1:19" x14ac:dyDescent="0.15">
      <c r="A451" s="448"/>
      <c r="B451" s="448"/>
      <c r="C451" s="448"/>
      <c r="D451" s="448"/>
      <c r="E451" s="448"/>
      <c r="F451" s="448"/>
      <c r="G451" s="448"/>
      <c r="H451" s="448"/>
      <c r="I451" s="448"/>
      <c r="J451" s="448"/>
      <c r="K451" s="448"/>
      <c r="L451" s="448"/>
      <c r="M451" s="448"/>
      <c r="N451" s="448"/>
      <c r="O451" s="448"/>
      <c r="P451" s="448"/>
      <c r="Q451" s="448"/>
      <c r="R451" s="448"/>
      <c r="S451" s="448"/>
    </row>
    <row r="452" spans="1:19" x14ac:dyDescent="0.15">
      <c r="A452" s="448"/>
      <c r="B452" s="448"/>
      <c r="C452" s="448"/>
      <c r="D452" s="448"/>
      <c r="E452" s="448"/>
      <c r="F452" s="448"/>
      <c r="G452" s="448"/>
      <c r="H452" s="448"/>
      <c r="I452" s="448"/>
      <c r="J452" s="448"/>
      <c r="K452" s="448"/>
      <c r="L452" s="448"/>
      <c r="M452" s="448"/>
      <c r="N452" s="448"/>
      <c r="O452" s="448"/>
      <c r="P452" s="448"/>
      <c r="Q452" s="448"/>
      <c r="R452" s="448"/>
      <c r="S452" s="448"/>
    </row>
    <row r="453" spans="1:19" x14ac:dyDescent="0.15">
      <c r="A453" s="448"/>
      <c r="B453" s="448"/>
      <c r="C453" s="448"/>
      <c r="D453" s="448"/>
      <c r="E453" s="448"/>
      <c r="F453" s="448"/>
      <c r="G453" s="448"/>
      <c r="H453" s="448"/>
      <c r="I453" s="448"/>
      <c r="J453" s="448"/>
      <c r="K453" s="448"/>
      <c r="L453" s="448"/>
      <c r="M453" s="448"/>
      <c r="N453" s="448"/>
      <c r="O453" s="448"/>
      <c r="P453" s="448"/>
      <c r="Q453" s="448"/>
      <c r="R453" s="448"/>
      <c r="S453" s="448"/>
    </row>
    <row r="454" spans="1:19" x14ac:dyDescent="0.15">
      <c r="A454" s="448"/>
      <c r="B454" s="448"/>
      <c r="C454" s="448"/>
      <c r="D454" s="448"/>
      <c r="E454" s="448"/>
      <c r="F454" s="448"/>
      <c r="G454" s="448"/>
      <c r="H454" s="448"/>
      <c r="I454" s="448"/>
      <c r="J454" s="448"/>
      <c r="K454" s="448"/>
      <c r="L454" s="448"/>
      <c r="M454" s="448"/>
      <c r="N454" s="448"/>
      <c r="O454" s="448"/>
      <c r="P454" s="448"/>
      <c r="Q454" s="448"/>
      <c r="R454" s="448"/>
      <c r="S454" s="448"/>
    </row>
    <row r="455" spans="1:19" x14ac:dyDescent="0.15">
      <c r="A455" s="448"/>
      <c r="B455" s="448"/>
      <c r="C455" s="448"/>
      <c r="D455" s="448"/>
      <c r="E455" s="448"/>
      <c r="F455" s="448"/>
      <c r="G455" s="448"/>
      <c r="H455" s="448"/>
      <c r="I455" s="448"/>
      <c r="J455" s="448"/>
      <c r="K455" s="448"/>
      <c r="L455" s="448"/>
      <c r="M455" s="448"/>
      <c r="N455" s="448"/>
      <c r="O455" s="448"/>
      <c r="P455" s="448"/>
      <c r="Q455" s="448"/>
      <c r="R455" s="448"/>
      <c r="S455" s="448"/>
    </row>
    <row r="456" spans="1:19" x14ac:dyDescent="0.15">
      <c r="A456" s="448"/>
      <c r="B456" s="448"/>
      <c r="C456" s="448"/>
      <c r="D456" s="448"/>
      <c r="E456" s="448"/>
      <c r="F456" s="448"/>
      <c r="G456" s="448"/>
      <c r="H456" s="448"/>
      <c r="I456" s="448"/>
      <c r="J456" s="448"/>
      <c r="K456" s="448"/>
      <c r="L456" s="448"/>
      <c r="M456" s="448"/>
      <c r="N456" s="448"/>
      <c r="O456" s="448"/>
      <c r="P456" s="448"/>
      <c r="Q456" s="448"/>
      <c r="R456" s="448"/>
      <c r="S456" s="448"/>
    </row>
    <row r="457" spans="1:19" x14ac:dyDescent="0.15">
      <c r="A457" s="448"/>
      <c r="B457" s="448"/>
      <c r="C457" s="448"/>
      <c r="D457" s="448"/>
      <c r="E457" s="448"/>
      <c r="F457" s="448"/>
      <c r="G457" s="448"/>
      <c r="H457" s="448"/>
      <c r="I457" s="448"/>
      <c r="J457" s="448"/>
      <c r="K457" s="448"/>
      <c r="L457" s="448"/>
      <c r="M457" s="448"/>
      <c r="N457" s="448"/>
      <c r="O457" s="448"/>
      <c r="P457" s="448"/>
      <c r="Q457" s="448"/>
      <c r="R457" s="448"/>
      <c r="S457" s="448"/>
    </row>
    <row r="458" spans="1:19" x14ac:dyDescent="0.15">
      <c r="A458" s="448"/>
      <c r="B458" s="448"/>
      <c r="C458" s="448"/>
      <c r="D458" s="448"/>
      <c r="E458" s="448"/>
      <c r="F458" s="448"/>
      <c r="G458" s="448"/>
      <c r="H458" s="448"/>
      <c r="I458" s="448"/>
      <c r="J458" s="448"/>
      <c r="K458" s="448"/>
      <c r="L458" s="448"/>
      <c r="M458" s="448"/>
      <c r="N458" s="448"/>
      <c r="O458" s="448"/>
      <c r="P458" s="448"/>
      <c r="Q458" s="448"/>
      <c r="R458" s="448"/>
      <c r="S458" s="448"/>
    </row>
    <row r="459" spans="1:19" x14ac:dyDescent="0.15">
      <c r="A459" s="448"/>
      <c r="B459" s="448"/>
      <c r="C459" s="448"/>
      <c r="D459" s="448"/>
      <c r="E459" s="448"/>
      <c r="F459" s="448"/>
      <c r="G459" s="448"/>
      <c r="H459" s="448"/>
      <c r="I459" s="448"/>
      <c r="J459" s="448"/>
      <c r="K459" s="448"/>
      <c r="L459" s="448"/>
      <c r="M459" s="448"/>
      <c r="N459" s="448"/>
      <c r="O459" s="448"/>
      <c r="P459" s="448"/>
      <c r="Q459" s="448"/>
      <c r="R459" s="448"/>
      <c r="S459" s="448"/>
    </row>
    <row r="460" spans="1:19" x14ac:dyDescent="0.15">
      <c r="A460" s="448"/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</row>
    <row r="461" spans="1:19" x14ac:dyDescent="0.15">
      <c r="A461" s="448"/>
      <c r="B461" s="448"/>
      <c r="C461" s="448"/>
      <c r="D461" s="448"/>
      <c r="E461" s="448"/>
      <c r="F461" s="448"/>
      <c r="G461" s="448"/>
      <c r="H461" s="448"/>
      <c r="I461" s="448"/>
      <c r="J461" s="448"/>
      <c r="K461" s="448"/>
      <c r="L461" s="448"/>
      <c r="M461" s="448"/>
      <c r="N461" s="448"/>
      <c r="O461" s="448"/>
      <c r="P461" s="448"/>
      <c r="Q461" s="448"/>
      <c r="R461" s="448"/>
      <c r="S461" s="448"/>
    </row>
    <row r="462" spans="1:19" x14ac:dyDescent="0.15">
      <c r="A462" s="448"/>
      <c r="B462" s="448"/>
      <c r="C462" s="448"/>
      <c r="D462" s="448"/>
      <c r="E462" s="448"/>
      <c r="F462" s="448"/>
      <c r="G462" s="448"/>
      <c r="H462" s="448"/>
      <c r="I462" s="448"/>
      <c r="J462" s="448"/>
      <c r="K462" s="448"/>
      <c r="L462" s="448"/>
      <c r="M462" s="448"/>
      <c r="N462" s="448"/>
      <c r="O462" s="448"/>
      <c r="P462" s="448"/>
      <c r="Q462" s="448"/>
      <c r="R462" s="448"/>
      <c r="S462" s="448"/>
    </row>
    <row r="463" spans="1:19" x14ac:dyDescent="0.15">
      <c r="A463" s="448"/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</row>
    <row r="464" spans="1:19" x14ac:dyDescent="0.15">
      <c r="A464" s="448"/>
      <c r="B464" s="448"/>
      <c r="C464" s="448"/>
      <c r="D464" s="448"/>
      <c r="E464" s="448"/>
      <c r="F464" s="448"/>
      <c r="G464" s="448"/>
      <c r="H464" s="448"/>
      <c r="I464" s="448"/>
      <c r="J464" s="448"/>
      <c r="K464" s="448"/>
      <c r="L464" s="448"/>
      <c r="M464" s="448"/>
      <c r="N464" s="448"/>
      <c r="O464" s="448"/>
      <c r="P464" s="448"/>
      <c r="Q464" s="448"/>
      <c r="R464" s="448"/>
      <c r="S464" s="448"/>
    </row>
    <row r="465" spans="1:19" x14ac:dyDescent="0.15">
      <c r="A465" s="448"/>
      <c r="B465" s="448"/>
      <c r="C465" s="448"/>
      <c r="D465" s="448"/>
      <c r="E465" s="448"/>
      <c r="F465" s="448"/>
      <c r="G465" s="448"/>
      <c r="H465" s="448"/>
      <c r="I465" s="448"/>
      <c r="J465" s="448"/>
      <c r="K465" s="448"/>
      <c r="L465" s="448"/>
      <c r="M465" s="448"/>
      <c r="N465" s="448"/>
      <c r="O465" s="448"/>
      <c r="P465" s="448"/>
      <c r="Q465" s="448"/>
      <c r="R465" s="448"/>
      <c r="S465" s="448"/>
    </row>
    <row r="466" spans="1:19" x14ac:dyDescent="0.15">
      <c r="A466" s="448"/>
      <c r="B466" s="448"/>
      <c r="C466" s="448"/>
      <c r="D466" s="448"/>
      <c r="E466" s="448"/>
      <c r="F466" s="448"/>
      <c r="G466" s="448"/>
      <c r="H466" s="448"/>
      <c r="I466" s="448"/>
      <c r="J466" s="448"/>
      <c r="K466" s="448"/>
      <c r="L466" s="448"/>
      <c r="M466" s="448"/>
      <c r="N466" s="448"/>
      <c r="O466" s="448"/>
      <c r="P466" s="448"/>
      <c r="Q466" s="448"/>
      <c r="R466" s="448"/>
      <c r="S466" s="448"/>
    </row>
    <row r="467" spans="1:19" x14ac:dyDescent="0.15">
      <c r="A467" s="448"/>
      <c r="B467" s="448"/>
      <c r="C467" s="448"/>
      <c r="D467" s="448"/>
      <c r="E467" s="448"/>
      <c r="F467" s="448"/>
      <c r="G467" s="448"/>
      <c r="H467" s="448"/>
      <c r="I467" s="448"/>
      <c r="J467" s="448"/>
      <c r="K467" s="448"/>
      <c r="L467" s="448"/>
      <c r="M467" s="448"/>
      <c r="N467" s="448"/>
      <c r="O467" s="448"/>
      <c r="P467" s="448"/>
      <c r="Q467" s="448"/>
      <c r="R467" s="448"/>
      <c r="S467" s="448"/>
    </row>
    <row r="468" spans="1:19" x14ac:dyDescent="0.15">
      <c r="A468" s="448"/>
      <c r="B468" s="448"/>
      <c r="C468" s="448"/>
      <c r="D468" s="448"/>
      <c r="E468" s="448"/>
      <c r="F468" s="448"/>
      <c r="G468" s="448"/>
      <c r="H468" s="448"/>
      <c r="I468" s="448"/>
      <c r="J468" s="448"/>
      <c r="K468" s="448"/>
      <c r="L468" s="448"/>
      <c r="M468" s="448"/>
      <c r="N468" s="448"/>
      <c r="O468" s="448"/>
      <c r="P468" s="448"/>
      <c r="Q468" s="448"/>
      <c r="R468" s="448"/>
      <c r="S468" s="448"/>
    </row>
    <row r="469" spans="1:19" x14ac:dyDescent="0.15">
      <c r="A469" s="448"/>
      <c r="B469" s="448"/>
      <c r="C469" s="448"/>
      <c r="D469" s="448"/>
      <c r="E469" s="448"/>
      <c r="F469" s="448"/>
      <c r="G469" s="448"/>
      <c r="H469" s="448"/>
      <c r="I469" s="448"/>
      <c r="J469" s="448"/>
      <c r="K469" s="448"/>
      <c r="L469" s="448"/>
      <c r="M469" s="448"/>
      <c r="N469" s="448"/>
      <c r="O469" s="448"/>
      <c r="P469" s="448"/>
      <c r="Q469" s="448"/>
      <c r="R469" s="448"/>
      <c r="S469" s="448"/>
    </row>
    <row r="470" spans="1:19" x14ac:dyDescent="0.15">
      <c r="A470" s="448"/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</row>
    <row r="471" spans="1:19" x14ac:dyDescent="0.15">
      <c r="A471" s="448"/>
      <c r="B471" s="448"/>
      <c r="C471" s="448"/>
      <c r="D471" s="448"/>
      <c r="E471" s="448"/>
      <c r="F471" s="448"/>
      <c r="G471" s="448"/>
      <c r="H471" s="448"/>
      <c r="I471" s="448"/>
      <c r="J471" s="448"/>
      <c r="K471" s="448"/>
      <c r="L471" s="448"/>
      <c r="M471" s="448"/>
      <c r="N471" s="448"/>
      <c r="O471" s="448"/>
      <c r="P471" s="448"/>
      <c r="Q471" s="448"/>
      <c r="R471" s="448"/>
      <c r="S471" s="448"/>
    </row>
    <row r="472" spans="1:19" x14ac:dyDescent="0.15">
      <c r="A472" s="448"/>
      <c r="B472" s="448"/>
      <c r="C472" s="448"/>
      <c r="D472" s="448"/>
      <c r="E472" s="448"/>
      <c r="F472" s="448"/>
      <c r="G472" s="448"/>
      <c r="H472" s="448"/>
      <c r="I472" s="448"/>
      <c r="J472" s="448"/>
      <c r="K472" s="448"/>
      <c r="L472" s="448"/>
      <c r="M472" s="448"/>
      <c r="N472" s="448"/>
      <c r="O472" s="448"/>
      <c r="P472" s="448"/>
      <c r="Q472" s="448"/>
      <c r="R472" s="448"/>
      <c r="S472" s="448"/>
    </row>
    <row r="473" spans="1:19" x14ac:dyDescent="0.15">
      <c r="A473" s="448"/>
      <c r="B473" s="448"/>
      <c r="C473" s="448"/>
      <c r="D473" s="448"/>
      <c r="E473" s="448"/>
      <c r="F473" s="448"/>
      <c r="G473" s="448"/>
      <c r="H473" s="448"/>
      <c r="I473" s="448"/>
      <c r="J473" s="448"/>
      <c r="K473" s="448"/>
      <c r="L473" s="448"/>
      <c r="M473" s="448"/>
      <c r="N473" s="448"/>
      <c r="O473" s="448"/>
      <c r="P473" s="448"/>
      <c r="Q473" s="448"/>
      <c r="R473" s="448"/>
      <c r="S473" s="448"/>
    </row>
    <row r="474" spans="1:19" x14ac:dyDescent="0.15">
      <c r="A474" s="448"/>
      <c r="B474" s="448"/>
      <c r="C474" s="448"/>
      <c r="D474" s="448"/>
      <c r="E474" s="448"/>
      <c r="F474" s="448"/>
      <c r="G474" s="448"/>
      <c r="H474" s="448"/>
      <c r="I474" s="448"/>
      <c r="J474" s="448"/>
      <c r="K474" s="448"/>
      <c r="L474" s="448"/>
      <c r="M474" s="448"/>
      <c r="N474" s="448"/>
      <c r="O474" s="448"/>
      <c r="P474" s="448"/>
      <c r="Q474" s="448"/>
      <c r="R474" s="448"/>
      <c r="S474" s="448"/>
    </row>
    <row r="475" spans="1:19" x14ac:dyDescent="0.15">
      <c r="A475" s="448"/>
      <c r="B475" s="448"/>
      <c r="C475" s="448"/>
      <c r="D475" s="448"/>
      <c r="E475" s="448"/>
      <c r="F475" s="448"/>
      <c r="G475" s="448"/>
      <c r="H475" s="448"/>
      <c r="I475" s="448"/>
      <c r="J475" s="448"/>
      <c r="K475" s="448"/>
      <c r="L475" s="448"/>
      <c r="M475" s="448"/>
      <c r="N475" s="448"/>
      <c r="O475" s="448"/>
      <c r="P475" s="448"/>
      <c r="Q475" s="448"/>
      <c r="R475" s="448"/>
      <c r="S475" s="448"/>
    </row>
    <row r="476" spans="1:19" x14ac:dyDescent="0.15">
      <c r="A476" s="448"/>
      <c r="B476" s="448"/>
      <c r="C476" s="448"/>
      <c r="D476" s="448"/>
      <c r="E476" s="448"/>
      <c r="F476" s="448"/>
      <c r="G476" s="448"/>
      <c r="H476" s="448"/>
      <c r="I476" s="448"/>
      <c r="J476" s="448"/>
      <c r="K476" s="448"/>
      <c r="L476" s="448"/>
      <c r="M476" s="448"/>
      <c r="N476" s="448"/>
      <c r="O476" s="448"/>
      <c r="P476" s="448"/>
      <c r="Q476" s="448"/>
      <c r="R476" s="448"/>
      <c r="S476" s="448"/>
    </row>
    <row r="477" spans="1:19" x14ac:dyDescent="0.15">
      <c r="A477" s="448"/>
      <c r="B477" s="448"/>
      <c r="C477" s="448"/>
      <c r="D477" s="448"/>
      <c r="E477" s="448"/>
      <c r="F477" s="448"/>
      <c r="G477" s="448"/>
      <c r="H477" s="448"/>
      <c r="I477" s="448"/>
      <c r="J477" s="448"/>
      <c r="K477" s="448"/>
      <c r="L477" s="448"/>
      <c r="M477" s="448"/>
      <c r="N477" s="448"/>
      <c r="O477" s="448"/>
      <c r="P477" s="448"/>
      <c r="Q477" s="448"/>
      <c r="R477" s="448"/>
      <c r="S477" s="448"/>
    </row>
    <row r="478" spans="1:19" x14ac:dyDescent="0.15">
      <c r="A478" s="448"/>
      <c r="B478" s="448"/>
      <c r="C478" s="448"/>
      <c r="D478" s="448"/>
      <c r="E478" s="448"/>
      <c r="F478" s="448"/>
      <c r="G478" s="448"/>
      <c r="H478" s="448"/>
      <c r="I478" s="448"/>
      <c r="J478" s="448"/>
      <c r="K478" s="448"/>
      <c r="L478" s="448"/>
      <c r="M478" s="448"/>
      <c r="N478" s="448"/>
      <c r="O478" s="448"/>
      <c r="P478" s="448"/>
      <c r="Q478" s="448"/>
      <c r="R478" s="448"/>
      <c r="S478" s="448"/>
    </row>
    <row r="479" spans="1:19" x14ac:dyDescent="0.15">
      <c r="A479" s="448"/>
      <c r="B479" s="448"/>
      <c r="C479" s="448"/>
      <c r="D479" s="448"/>
      <c r="E479" s="448"/>
      <c r="F479" s="448"/>
      <c r="G479" s="448"/>
      <c r="H479" s="448"/>
      <c r="I479" s="448"/>
      <c r="J479" s="448"/>
      <c r="K479" s="448"/>
      <c r="L479" s="448"/>
      <c r="M479" s="448"/>
      <c r="N479" s="448"/>
      <c r="O479" s="448"/>
      <c r="P479" s="448"/>
      <c r="Q479" s="448"/>
      <c r="R479" s="448"/>
      <c r="S479" s="448"/>
    </row>
    <row r="480" spans="1:19" x14ac:dyDescent="0.15">
      <c r="A480" s="448"/>
      <c r="B480" s="448"/>
      <c r="C480" s="448"/>
      <c r="D480" s="448"/>
      <c r="E480" s="448"/>
      <c r="F480" s="448"/>
      <c r="G480" s="448"/>
      <c r="H480" s="448"/>
      <c r="I480" s="448"/>
      <c r="J480" s="448"/>
      <c r="K480" s="448"/>
      <c r="L480" s="448"/>
      <c r="M480" s="448"/>
      <c r="N480" s="448"/>
      <c r="O480" s="448"/>
      <c r="P480" s="448"/>
      <c r="Q480" s="448"/>
      <c r="R480" s="448"/>
      <c r="S480" s="448"/>
    </row>
    <row r="481" spans="1:19" x14ac:dyDescent="0.15">
      <c r="A481" s="448"/>
      <c r="B481" s="448"/>
      <c r="C481" s="448"/>
      <c r="D481" s="448"/>
      <c r="E481" s="448"/>
      <c r="F481" s="448"/>
      <c r="G481" s="448"/>
      <c r="H481" s="448"/>
      <c r="I481" s="448"/>
      <c r="J481" s="448"/>
      <c r="K481" s="448"/>
      <c r="L481" s="448"/>
      <c r="M481" s="448"/>
      <c r="N481" s="448"/>
      <c r="O481" s="448"/>
      <c r="P481" s="448"/>
      <c r="Q481" s="448"/>
      <c r="R481" s="448"/>
      <c r="S481" s="448"/>
    </row>
    <row r="482" spans="1:19" x14ac:dyDescent="0.15">
      <c r="A482" s="448"/>
      <c r="B482" s="448"/>
      <c r="C482" s="448"/>
      <c r="D482" s="448"/>
      <c r="E482" s="448"/>
      <c r="F482" s="448"/>
      <c r="G482" s="448"/>
      <c r="H482" s="448"/>
      <c r="I482" s="448"/>
      <c r="J482" s="448"/>
      <c r="K482" s="448"/>
      <c r="L482" s="448"/>
      <c r="M482" s="448"/>
      <c r="N482" s="448"/>
      <c r="O482" s="448"/>
      <c r="P482" s="448"/>
      <c r="Q482" s="448"/>
      <c r="R482" s="448"/>
      <c r="S482" s="448"/>
    </row>
    <row r="483" spans="1:19" x14ac:dyDescent="0.15">
      <c r="A483" s="448"/>
      <c r="B483" s="448"/>
      <c r="C483" s="448"/>
      <c r="D483" s="448"/>
      <c r="E483" s="448"/>
      <c r="F483" s="448"/>
      <c r="G483" s="448"/>
      <c r="H483" s="448"/>
      <c r="I483" s="448"/>
      <c r="J483" s="448"/>
      <c r="K483" s="448"/>
      <c r="L483" s="448"/>
      <c r="M483" s="448"/>
      <c r="N483" s="448"/>
      <c r="O483" s="448"/>
      <c r="P483" s="448"/>
      <c r="Q483" s="448"/>
      <c r="R483" s="448"/>
      <c r="S483" s="448"/>
    </row>
    <row r="484" spans="1:19" x14ac:dyDescent="0.15">
      <c r="A484" s="448"/>
      <c r="B484" s="448"/>
      <c r="C484" s="448"/>
      <c r="D484" s="448"/>
      <c r="E484" s="448"/>
      <c r="F484" s="448"/>
      <c r="G484" s="448"/>
      <c r="H484" s="448"/>
      <c r="I484" s="448"/>
      <c r="J484" s="448"/>
      <c r="K484" s="448"/>
      <c r="L484" s="448"/>
      <c r="M484" s="448"/>
      <c r="N484" s="448"/>
      <c r="O484" s="448"/>
      <c r="P484" s="448"/>
      <c r="Q484" s="448"/>
      <c r="R484" s="448"/>
      <c r="S484" s="448"/>
    </row>
    <row r="485" spans="1:19" x14ac:dyDescent="0.15">
      <c r="A485" s="448"/>
      <c r="B485" s="448"/>
      <c r="C485" s="448"/>
      <c r="D485" s="448"/>
      <c r="E485" s="448"/>
      <c r="F485" s="448"/>
      <c r="G485" s="448"/>
      <c r="H485" s="448"/>
      <c r="I485" s="448"/>
      <c r="J485" s="448"/>
      <c r="K485" s="448"/>
      <c r="L485" s="448"/>
      <c r="M485" s="448"/>
      <c r="N485" s="448"/>
      <c r="O485" s="448"/>
      <c r="P485" s="448"/>
      <c r="Q485" s="448"/>
      <c r="R485" s="448"/>
      <c r="S485" s="448"/>
    </row>
    <row r="486" spans="1:19" x14ac:dyDescent="0.15">
      <c r="A486" s="448"/>
      <c r="B486" s="448"/>
      <c r="C486" s="448"/>
      <c r="D486" s="448"/>
      <c r="E486" s="448"/>
      <c r="F486" s="448"/>
      <c r="G486" s="448"/>
      <c r="H486" s="448"/>
      <c r="I486" s="448"/>
      <c r="J486" s="448"/>
      <c r="K486" s="448"/>
      <c r="L486" s="448"/>
      <c r="M486" s="448"/>
      <c r="N486" s="448"/>
      <c r="O486" s="448"/>
      <c r="P486" s="448"/>
      <c r="Q486" s="448"/>
      <c r="R486" s="448"/>
      <c r="S486" s="448"/>
    </row>
    <row r="487" spans="1:19" x14ac:dyDescent="0.15">
      <c r="A487" s="448"/>
      <c r="B487" s="448"/>
      <c r="C487" s="448"/>
      <c r="D487" s="448"/>
      <c r="E487" s="448"/>
      <c r="F487" s="448"/>
      <c r="G487" s="448"/>
      <c r="H487" s="448"/>
      <c r="I487" s="448"/>
      <c r="J487" s="448"/>
      <c r="K487" s="448"/>
      <c r="L487" s="448"/>
      <c r="M487" s="448"/>
      <c r="N487" s="448"/>
      <c r="O487" s="448"/>
      <c r="P487" s="448"/>
      <c r="Q487" s="448"/>
      <c r="R487" s="448"/>
      <c r="S487" s="448"/>
    </row>
    <row r="488" spans="1:19" x14ac:dyDescent="0.15">
      <c r="A488" s="448"/>
      <c r="B488" s="448"/>
      <c r="C488" s="448"/>
      <c r="D488" s="448"/>
      <c r="E488" s="448"/>
      <c r="F488" s="448"/>
      <c r="G488" s="448"/>
      <c r="H488" s="448"/>
      <c r="I488" s="448"/>
      <c r="J488" s="448"/>
      <c r="K488" s="448"/>
      <c r="L488" s="448"/>
      <c r="M488" s="448"/>
      <c r="N488" s="448"/>
      <c r="O488" s="448"/>
      <c r="P488" s="448"/>
      <c r="Q488" s="448"/>
      <c r="R488" s="448"/>
      <c r="S488" s="448"/>
    </row>
    <row r="489" spans="1:19" x14ac:dyDescent="0.15">
      <c r="A489" s="448"/>
      <c r="B489" s="448"/>
      <c r="C489" s="448"/>
      <c r="D489" s="448"/>
      <c r="E489" s="448"/>
      <c r="F489" s="448"/>
      <c r="G489" s="448"/>
      <c r="H489" s="448"/>
      <c r="I489" s="448"/>
      <c r="J489" s="448"/>
      <c r="K489" s="448"/>
      <c r="L489" s="448"/>
      <c r="M489" s="448"/>
      <c r="N489" s="448"/>
      <c r="O489" s="448"/>
      <c r="P489" s="448"/>
      <c r="Q489" s="448"/>
      <c r="R489" s="448"/>
      <c r="S489" s="448"/>
    </row>
    <row r="490" spans="1:19" x14ac:dyDescent="0.15">
      <c r="A490" s="448"/>
      <c r="B490" s="448"/>
      <c r="C490" s="448"/>
      <c r="D490" s="448"/>
      <c r="E490" s="448"/>
      <c r="F490" s="448"/>
      <c r="G490" s="448"/>
      <c r="H490" s="448"/>
      <c r="I490" s="448"/>
      <c r="J490" s="448"/>
      <c r="K490" s="448"/>
      <c r="L490" s="448"/>
      <c r="M490" s="448"/>
      <c r="N490" s="448"/>
      <c r="O490" s="448"/>
      <c r="P490" s="448"/>
      <c r="Q490" s="448"/>
      <c r="R490" s="448"/>
      <c r="S490" s="448"/>
    </row>
    <row r="491" spans="1:19" x14ac:dyDescent="0.15">
      <c r="A491" s="448"/>
      <c r="B491" s="448"/>
      <c r="C491" s="448"/>
      <c r="D491" s="448"/>
      <c r="E491" s="448"/>
      <c r="F491" s="448"/>
      <c r="G491" s="448"/>
      <c r="H491" s="448"/>
      <c r="I491" s="448"/>
      <c r="J491" s="448"/>
      <c r="K491" s="448"/>
      <c r="L491" s="448"/>
      <c r="M491" s="448"/>
      <c r="N491" s="448"/>
      <c r="O491" s="448"/>
      <c r="P491" s="448"/>
      <c r="Q491" s="448"/>
      <c r="R491" s="448"/>
      <c r="S491" s="448"/>
    </row>
    <row r="492" spans="1:19" x14ac:dyDescent="0.15">
      <c r="A492" s="448"/>
      <c r="B492" s="448"/>
      <c r="C492" s="448"/>
      <c r="D492" s="448"/>
      <c r="E492" s="448"/>
      <c r="F492" s="448"/>
      <c r="G492" s="448"/>
      <c r="H492" s="448"/>
      <c r="I492" s="448"/>
      <c r="J492" s="448"/>
      <c r="K492" s="448"/>
      <c r="L492" s="448"/>
      <c r="M492" s="448"/>
      <c r="N492" s="448"/>
      <c r="O492" s="448"/>
      <c r="P492" s="448"/>
      <c r="Q492" s="448"/>
      <c r="R492" s="448"/>
      <c r="S492" s="448"/>
    </row>
    <row r="493" spans="1:19" x14ac:dyDescent="0.15">
      <c r="A493" s="448"/>
      <c r="B493" s="448"/>
      <c r="C493" s="448"/>
      <c r="D493" s="448"/>
      <c r="E493" s="448"/>
      <c r="F493" s="448"/>
      <c r="G493" s="448"/>
      <c r="H493" s="448"/>
      <c r="I493" s="448"/>
      <c r="J493" s="448"/>
      <c r="K493" s="448"/>
      <c r="L493" s="448"/>
      <c r="M493" s="448"/>
      <c r="N493" s="448"/>
      <c r="O493" s="448"/>
      <c r="P493" s="448"/>
      <c r="Q493" s="448"/>
      <c r="R493" s="448"/>
      <c r="S493" s="448"/>
    </row>
    <row r="494" spans="1:19" x14ac:dyDescent="0.15">
      <c r="A494" s="448"/>
      <c r="B494" s="448"/>
      <c r="C494" s="448"/>
      <c r="D494" s="448"/>
      <c r="E494" s="448"/>
      <c r="F494" s="448"/>
      <c r="G494" s="448"/>
      <c r="H494" s="448"/>
      <c r="I494" s="448"/>
      <c r="J494" s="448"/>
      <c r="K494" s="448"/>
      <c r="L494" s="448"/>
      <c r="M494" s="448"/>
      <c r="N494" s="448"/>
      <c r="O494" s="448"/>
      <c r="P494" s="448"/>
      <c r="Q494" s="448"/>
      <c r="R494" s="448"/>
      <c r="S494" s="448"/>
    </row>
    <row r="495" spans="1:19" x14ac:dyDescent="0.15">
      <c r="A495" s="448"/>
      <c r="B495" s="448"/>
      <c r="C495" s="448"/>
      <c r="D495" s="448"/>
      <c r="E495" s="448"/>
      <c r="F495" s="448"/>
      <c r="G495" s="448"/>
      <c r="H495" s="448"/>
      <c r="I495" s="448"/>
      <c r="J495" s="448"/>
      <c r="K495" s="448"/>
      <c r="L495" s="448"/>
      <c r="M495" s="448"/>
      <c r="N495" s="448"/>
      <c r="O495" s="448"/>
      <c r="P495" s="448"/>
      <c r="Q495" s="448"/>
      <c r="R495" s="448"/>
      <c r="S495" s="448"/>
    </row>
    <row r="496" spans="1:19" x14ac:dyDescent="0.15">
      <c r="A496" s="448"/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</row>
    <row r="497" spans="1:19" x14ac:dyDescent="0.15">
      <c r="A497" s="448"/>
      <c r="B497" s="448"/>
      <c r="C497" s="448"/>
      <c r="D497" s="448"/>
      <c r="E497" s="448"/>
      <c r="F497" s="448"/>
      <c r="G497" s="448"/>
      <c r="H497" s="448"/>
      <c r="I497" s="448"/>
      <c r="J497" s="448"/>
      <c r="K497" s="448"/>
      <c r="L497" s="448"/>
      <c r="M497" s="448"/>
      <c r="N497" s="448"/>
      <c r="O497" s="448"/>
      <c r="P497" s="448"/>
      <c r="Q497" s="448"/>
      <c r="R497" s="448"/>
      <c r="S497" s="448"/>
    </row>
    <row r="498" spans="1:19" x14ac:dyDescent="0.15">
      <c r="A498" s="448"/>
      <c r="B498" s="448"/>
      <c r="C498" s="448"/>
      <c r="D498" s="448"/>
      <c r="E498" s="448"/>
      <c r="F498" s="448"/>
      <c r="G498" s="448"/>
      <c r="H498" s="448"/>
      <c r="I498" s="448"/>
      <c r="J498" s="448"/>
      <c r="K498" s="448"/>
      <c r="L498" s="448"/>
      <c r="M498" s="448"/>
      <c r="N498" s="448"/>
      <c r="O498" s="448"/>
      <c r="P498" s="448"/>
      <c r="Q498" s="448"/>
      <c r="R498" s="448"/>
      <c r="S498" s="448"/>
    </row>
    <row r="499" spans="1:19" x14ac:dyDescent="0.15">
      <c r="A499" s="448"/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</row>
    <row r="500" spans="1:19" x14ac:dyDescent="0.15">
      <c r="A500" s="448"/>
      <c r="B500" s="448"/>
      <c r="C500" s="448"/>
      <c r="D500" s="448"/>
      <c r="E500" s="448"/>
      <c r="F500" s="448"/>
      <c r="G500" s="448"/>
      <c r="H500" s="448"/>
      <c r="I500" s="448"/>
      <c r="J500" s="448"/>
      <c r="K500" s="448"/>
      <c r="L500" s="448"/>
      <c r="M500" s="448"/>
      <c r="N500" s="448"/>
      <c r="O500" s="448"/>
      <c r="P500" s="448"/>
      <c r="Q500" s="448"/>
      <c r="R500" s="448"/>
      <c r="S500" s="448"/>
    </row>
    <row r="501" spans="1:19" x14ac:dyDescent="0.15">
      <c r="A501" s="448"/>
      <c r="B501" s="448"/>
      <c r="C501" s="448"/>
      <c r="D501" s="448"/>
      <c r="E501" s="448"/>
      <c r="F501" s="448"/>
      <c r="G501" s="448"/>
      <c r="H501" s="448"/>
      <c r="I501" s="448"/>
      <c r="J501" s="448"/>
      <c r="K501" s="448"/>
      <c r="L501" s="448"/>
      <c r="M501" s="448"/>
      <c r="N501" s="448"/>
      <c r="O501" s="448"/>
      <c r="P501" s="448"/>
      <c r="Q501" s="448"/>
      <c r="R501" s="448"/>
      <c r="S501" s="448"/>
    </row>
    <row r="502" spans="1:19" x14ac:dyDescent="0.15">
      <c r="A502" s="448"/>
      <c r="B502" s="448"/>
      <c r="C502" s="448"/>
      <c r="D502" s="448"/>
      <c r="E502" s="448"/>
      <c r="F502" s="448"/>
      <c r="G502" s="448"/>
      <c r="H502" s="448"/>
      <c r="I502" s="448"/>
      <c r="J502" s="448"/>
      <c r="K502" s="448"/>
      <c r="L502" s="448"/>
      <c r="M502" s="448"/>
      <c r="N502" s="448"/>
      <c r="O502" s="448"/>
      <c r="P502" s="448"/>
      <c r="Q502" s="448"/>
      <c r="R502" s="448"/>
      <c r="S502" s="448"/>
    </row>
    <row r="503" spans="1:19" x14ac:dyDescent="0.15">
      <c r="A503" s="448"/>
      <c r="B503" s="448"/>
      <c r="C503" s="448"/>
      <c r="D503" s="448"/>
      <c r="E503" s="448"/>
      <c r="F503" s="448"/>
      <c r="G503" s="448"/>
      <c r="H503" s="448"/>
      <c r="I503" s="448"/>
      <c r="J503" s="448"/>
      <c r="K503" s="448"/>
      <c r="L503" s="448"/>
      <c r="M503" s="448"/>
      <c r="N503" s="448"/>
      <c r="O503" s="448"/>
      <c r="P503" s="448"/>
      <c r="Q503" s="448"/>
      <c r="R503" s="448"/>
      <c r="S503" s="448"/>
    </row>
    <row r="504" spans="1:19" x14ac:dyDescent="0.15">
      <c r="A504" s="448"/>
      <c r="B504" s="448"/>
      <c r="C504" s="448"/>
      <c r="D504" s="448"/>
      <c r="E504" s="448"/>
      <c r="F504" s="448"/>
      <c r="G504" s="448"/>
      <c r="H504" s="448"/>
      <c r="I504" s="448"/>
      <c r="J504" s="448"/>
      <c r="K504" s="448"/>
      <c r="L504" s="448"/>
      <c r="M504" s="448"/>
      <c r="N504" s="448"/>
      <c r="O504" s="448"/>
      <c r="P504" s="448"/>
      <c r="Q504" s="448"/>
      <c r="R504" s="448"/>
      <c r="S504" s="448"/>
    </row>
    <row r="505" spans="1:19" x14ac:dyDescent="0.15">
      <c r="A505" s="448"/>
      <c r="B505" s="448"/>
      <c r="C505" s="448"/>
      <c r="D505" s="448"/>
      <c r="E505" s="448"/>
      <c r="F505" s="448"/>
      <c r="G505" s="448"/>
      <c r="H505" s="448"/>
      <c r="I505" s="448"/>
      <c r="J505" s="448"/>
      <c r="K505" s="448"/>
      <c r="L505" s="448"/>
      <c r="M505" s="448"/>
      <c r="N505" s="448"/>
      <c r="O505" s="448"/>
      <c r="P505" s="448"/>
      <c r="Q505" s="448"/>
      <c r="R505" s="448"/>
      <c r="S505" s="448"/>
    </row>
    <row r="506" spans="1:19" x14ac:dyDescent="0.15">
      <c r="A506" s="448"/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</row>
    <row r="507" spans="1:19" x14ac:dyDescent="0.15">
      <c r="A507" s="448"/>
      <c r="B507" s="448"/>
      <c r="C507" s="448"/>
      <c r="D507" s="448"/>
      <c r="E507" s="448"/>
      <c r="F507" s="448"/>
      <c r="G507" s="448"/>
      <c r="H507" s="448"/>
      <c r="I507" s="448"/>
      <c r="J507" s="448"/>
      <c r="K507" s="448"/>
      <c r="L507" s="448"/>
      <c r="M507" s="448"/>
      <c r="N507" s="448"/>
      <c r="O507" s="448"/>
      <c r="P507" s="448"/>
      <c r="Q507" s="448"/>
      <c r="R507" s="448"/>
      <c r="S507" s="448"/>
    </row>
    <row r="508" spans="1:19" x14ac:dyDescent="0.15">
      <c r="A508" s="448"/>
      <c r="B508" s="448"/>
      <c r="C508" s="448"/>
      <c r="D508" s="448"/>
      <c r="E508" s="448"/>
      <c r="F508" s="448"/>
      <c r="G508" s="448"/>
      <c r="H508" s="448"/>
      <c r="I508" s="448"/>
      <c r="J508" s="448"/>
      <c r="K508" s="448"/>
      <c r="L508" s="448"/>
      <c r="M508" s="448"/>
      <c r="N508" s="448"/>
      <c r="O508" s="448"/>
      <c r="P508" s="448"/>
      <c r="Q508" s="448"/>
      <c r="R508" s="448"/>
      <c r="S508" s="448"/>
    </row>
    <row r="509" spans="1:19" x14ac:dyDescent="0.15">
      <c r="A509" s="448"/>
      <c r="B509" s="448"/>
      <c r="C509" s="448"/>
      <c r="D509" s="448"/>
      <c r="E509" s="448"/>
      <c r="F509" s="448"/>
      <c r="G509" s="448"/>
      <c r="H509" s="448"/>
      <c r="I509" s="448"/>
      <c r="J509" s="448"/>
      <c r="K509" s="448"/>
      <c r="L509" s="448"/>
      <c r="M509" s="448"/>
      <c r="N509" s="448"/>
      <c r="O509" s="448"/>
      <c r="P509" s="448"/>
      <c r="Q509" s="448"/>
      <c r="R509" s="448"/>
      <c r="S509" s="448"/>
    </row>
    <row r="510" spans="1:19" x14ac:dyDescent="0.15">
      <c r="A510" s="448"/>
      <c r="B510" s="448"/>
      <c r="C510" s="448"/>
      <c r="D510" s="448"/>
      <c r="E510" s="448"/>
      <c r="F510" s="448"/>
      <c r="G510" s="448"/>
      <c r="H510" s="448"/>
      <c r="I510" s="448"/>
      <c r="J510" s="448"/>
      <c r="K510" s="448"/>
      <c r="L510" s="448"/>
      <c r="M510" s="448"/>
      <c r="N510" s="448"/>
      <c r="O510" s="448"/>
      <c r="P510" s="448"/>
      <c r="Q510" s="448"/>
      <c r="R510" s="448"/>
      <c r="S510" s="448"/>
    </row>
    <row r="511" spans="1:19" x14ac:dyDescent="0.15">
      <c r="A511" s="448"/>
      <c r="B511" s="448"/>
      <c r="C511" s="448"/>
      <c r="D511" s="448"/>
      <c r="E511" s="448"/>
      <c r="F511" s="448"/>
      <c r="G511" s="448"/>
      <c r="H511" s="448"/>
      <c r="I511" s="448"/>
      <c r="J511" s="448"/>
      <c r="K511" s="448"/>
      <c r="L511" s="448"/>
      <c r="M511" s="448"/>
      <c r="N511" s="448"/>
      <c r="O511" s="448"/>
      <c r="P511" s="448"/>
      <c r="Q511" s="448"/>
      <c r="R511" s="448"/>
      <c r="S511" s="448"/>
    </row>
    <row r="512" spans="1:19" x14ac:dyDescent="0.15">
      <c r="A512" s="448"/>
      <c r="B512" s="448"/>
      <c r="C512" s="448"/>
      <c r="D512" s="448"/>
      <c r="E512" s="448"/>
      <c r="F512" s="448"/>
      <c r="G512" s="448"/>
      <c r="H512" s="448"/>
      <c r="I512" s="448"/>
      <c r="J512" s="448"/>
      <c r="K512" s="448"/>
      <c r="L512" s="448"/>
      <c r="M512" s="448"/>
      <c r="N512" s="448"/>
      <c r="O512" s="448"/>
      <c r="P512" s="448"/>
      <c r="Q512" s="448"/>
      <c r="R512" s="448"/>
      <c r="S512" s="448"/>
    </row>
    <row r="513" spans="1:19" x14ac:dyDescent="0.15">
      <c r="A513" s="448"/>
      <c r="B513" s="448"/>
      <c r="C513" s="448"/>
      <c r="D513" s="448"/>
      <c r="E513" s="448"/>
      <c r="F513" s="448"/>
      <c r="G513" s="448"/>
      <c r="H513" s="448"/>
      <c r="I513" s="448"/>
      <c r="J513" s="448"/>
      <c r="K513" s="448"/>
      <c r="L513" s="448"/>
      <c r="M513" s="448"/>
      <c r="N513" s="448"/>
      <c r="O513" s="448"/>
      <c r="P513" s="448"/>
      <c r="Q513" s="448"/>
      <c r="R513" s="448"/>
      <c r="S513" s="448"/>
    </row>
    <row r="514" spans="1:19" x14ac:dyDescent="0.15">
      <c r="A514" s="448"/>
      <c r="B514" s="448"/>
      <c r="C514" s="448"/>
      <c r="D514" s="448"/>
      <c r="E514" s="448"/>
      <c r="F514" s="448"/>
      <c r="G514" s="448"/>
      <c r="H514" s="448"/>
      <c r="I514" s="448"/>
      <c r="J514" s="448"/>
      <c r="K514" s="448"/>
      <c r="L514" s="448"/>
      <c r="M514" s="448"/>
      <c r="N514" s="448"/>
      <c r="O514" s="448"/>
      <c r="P514" s="448"/>
      <c r="Q514" s="448"/>
      <c r="R514" s="448"/>
      <c r="S514" s="448"/>
    </row>
    <row r="515" spans="1:19" x14ac:dyDescent="0.15">
      <c r="A515" s="448"/>
      <c r="B515" s="448"/>
      <c r="C515" s="448"/>
      <c r="D515" s="448"/>
      <c r="E515" s="448"/>
      <c r="F515" s="448"/>
      <c r="G515" s="448"/>
      <c r="H515" s="448"/>
      <c r="I515" s="448"/>
      <c r="J515" s="448"/>
      <c r="K515" s="448"/>
      <c r="L515" s="448"/>
      <c r="M515" s="448"/>
      <c r="N515" s="448"/>
      <c r="O515" s="448"/>
      <c r="P515" s="448"/>
      <c r="Q515" s="448"/>
      <c r="R515" s="448"/>
      <c r="S515" s="448"/>
    </row>
    <row r="516" spans="1:19" x14ac:dyDescent="0.15">
      <c r="A516" s="448"/>
      <c r="B516" s="448"/>
      <c r="C516" s="448"/>
      <c r="D516" s="448"/>
      <c r="E516" s="448"/>
      <c r="F516" s="448"/>
      <c r="G516" s="448"/>
      <c r="H516" s="448"/>
      <c r="I516" s="448"/>
      <c r="J516" s="448"/>
      <c r="K516" s="448"/>
      <c r="L516" s="448"/>
      <c r="M516" s="448"/>
      <c r="N516" s="448"/>
      <c r="O516" s="448"/>
      <c r="P516" s="448"/>
      <c r="Q516" s="448"/>
      <c r="R516" s="448"/>
      <c r="S516" s="448"/>
    </row>
    <row r="517" spans="1:19" x14ac:dyDescent="0.15">
      <c r="A517" s="448"/>
      <c r="B517" s="448"/>
      <c r="C517" s="448"/>
      <c r="D517" s="448"/>
      <c r="E517" s="448"/>
      <c r="F517" s="448"/>
      <c r="G517" s="448"/>
      <c r="H517" s="448"/>
      <c r="I517" s="448"/>
      <c r="J517" s="448"/>
      <c r="K517" s="448"/>
      <c r="L517" s="448"/>
      <c r="M517" s="448"/>
      <c r="N517" s="448"/>
      <c r="O517" s="448"/>
      <c r="P517" s="448"/>
      <c r="Q517" s="448"/>
      <c r="R517" s="448"/>
      <c r="S517" s="448"/>
    </row>
    <row r="518" spans="1:19" x14ac:dyDescent="0.15">
      <c r="A518" s="448"/>
      <c r="B518" s="448"/>
      <c r="C518" s="448"/>
      <c r="D518" s="448"/>
      <c r="E518" s="448"/>
      <c r="F518" s="448"/>
      <c r="G518" s="448"/>
      <c r="H518" s="448"/>
      <c r="I518" s="448"/>
      <c r="J518" s="448"/>
      <c r="K518" s="448"/>
      <c r="L518" s="448"/>
      <c r="M518" s="448"/>
      <c r="N518" s="448"/>
      <c r="O518" s="448"/>
      <c r="P518" s="448"/>
      <c r="Q518" s="448"/>
      <c r="R518" s="448"/>
      <c r="S518" s="448"/>
    </row>
    <row r="519" spans="1:19" x14ac:dyDescent="0.15">
      <c r="A519" s="448"/>
      <c r="B519" s="448"/>
      <c r="C519" s="448"/>
      <c r="D519" s="448"/>
      <c r="E519" s="448"/>
      <c r="F519" s="448"/>
      <c r="G519" s="448"/>
      <c r="H519" s="448"/>
      <c r="I519" s="448"/>
      <c r="J519" s="448"/>
      <c r="K519" s="448"/>
      <c r="L519" s="448"/>
      <c r="M519" s="448"/>
      <c r="N519" s="448"/>
      <c r="O519" s="448"/>
      <c r="P519" s="448"/>
      <c r="Q519" s="448"/>
      <c r="R519" s="448"/>
      <c r="S519" s="448"/>
    </row>
    <row r="520" spans="1:19" x14ac:dyDescent="0.15">
      <c r="A520" s="448"/>
      <c r="B520" s="448"/>
      <c r="C520" s="448"/>
      <c r="D520" s="448"/>
      <c r="E520" s="448"/>
      <c r="F520" s="448"/>
      <c r="G520" s="448"/>
      <c r="H520" s="448"/>
      <c r="I520" s="448"/>
      <c r="J520" s="448"/>
      <c r="K520" s="448"/>
      <c r="L520" s="448"/>
      <c r="M520" s="448"/>
      <c r="N520" s="448"/>
      <c r="O520" s="448"/>
      <c r="P520" s="448"/>
      <c r="Q520" s="448"/>
      <c r="R520" s="448"/>
      <c r="S520" s="448"/>
    </row>
    <row r="521" spans="1:19" x14ac:dyDescent="0.15">
      <c r="A521" s="448"/>
      <c r="B521" s="448"/>
      <c r="C521" s="448"/>
      <c r="D521" s="448"/>
      <c r="E521" s="448"/>
      <c r="F521" s="448"/>
      <c r="G521" s="448"/>
      <c r="H521" s="448"/>
      <c r="I521" s="448"/>
      <c r="J521" s="448"/>
      <c r="K521" s="448"/>
      <c r="L521" s="448"/>
      <c r="M521" s="448"/>
      <c r="N521" s="448"/>
      <c r="O521" s="448"/>
      <c r="P521" s="448"/>
      <c r="Q521" s="448"/>
      <c r="R521" s="448"/>
      <c r="S521" s="448"/>
    </row>
    <row r="522" spans="1:19" x14ac:dyDescent="0.15">
      <c r="A522" s="448"/>
      <c r="B522" s="448"/>
      <c r="C522" s="448"/>
      <c r="D522" s="448"/>
      <c r="E522" s="448"/>
      <c r="F522" s="448"/>
      <c r="G522" s="448"/>
      <c r="H522" s="448"/>
      <c r="I522" s="448"/>
      <c r="J522" s="448"/>
      <c r="K522" s="448"/>
      <c r="L522" s="448"/>
      <c r="M522" s="448"/>
      <c r="N522" s="448"/>
      <c r="O522" s="448"/>
      <c r="P522" s="448"/>
      <c r="Q522" s="448"/>
      <c r="R522" s="448"/>
      <c r="S522" s="448"/>
    </row>
    <row r="523" spans="1:19" x14ac:dyDescent="0.15">
      <c r="A523" s="448"/>
      <c r="B523" s="448"/>
      <c r="C523" s="448"/>
      <c r="D523" s="448"/>
      <c r="E523" s="448"/>
      <c r="F523" s="448"/>
      <c r="G523" s="448"/>
      <c r="H523" s="448"/>
      <c r="I523" s="448"/>
      <c r="J523" s="448"/>
      <c r="K523" s="448"/>
      <c r="L523" s="448"/>
      <c r="M523" s="448"/>
      <c r="N523" s="448"/>
      <c r="O523" s="448"/>
      <c r="P523" s="448"/>
      <c r="Q523" s="448"/>
      <c r="R523" s="448"/>
      <c r="S523" s="448"/>
    </row>
    <row r="524" spans="1:19" x14ac:dyDescent="0.15">
      <c r="A524" s="448"/>
      <c r="B524" s="448"/>
      <c r="C524" s="448"/>
      <c r="D524" s="448"/>
      <c r="E524" s="448"/>
      <c r="F524" s="448"/>
      <c r="G524" s="448"/>
      <c r="H524" s="448"/>
      <c r="I524" s="448"/>
      <c r="J524" s="448"/>
      <c r="K524" s="448"/>
      <c r="L524" s="448"/>
      <c r="M524" s="448"/>
      <c r="N524" s="448"/>
      <c r="O524" s="448"/>
      <c r="P524" s="448"/>
      <c r="Q524" s="448"/>
      <c r="R524" s="448"/>
      <c r="S524" s="448"/>
    </row>
    <row r="525" spans="1:19" x14ac:dyDescent="0.15">
      <c r="A525" s="448"/>
      <c r="B525" s="448"/>
      <c r="C525" s="448"/>
      <c r="D525" s="448"/>
      <c r="E525" s="448"/>
      <c r="F525" s="448"/>
      <c r="G525" s="448"/>
      <c r="H525" s="448"/>
      <c r="I525" s="448"/>
      <c r="J525" s="448"/>
      <c r="K525" s="448"/>
      <c r="L525" s="448"/>
      <c r="M525" s="448"/>
      <c r="N525" s="448"/>
      <c r="O525" s="448"/>
      <c r="P525" s="448"/>
      <c r="Q525" s="448"/>
      <c r="R525" s="448"/>
      <c r="S525" s="448"/>
    </row>
    <row r="526" spans="1:19" x14ac:dyDescent="0.15">
      <c r="A526" s="448"/>
      <c r="B526" s="448"/>
      <c r="C526" s="448"/>
      <c r="D526" s="448"/>
      <c r="E526" s="448"/>
      <c r="F526" s="448"/>
      <c r="G526" s="448"/>
      <c r="H526" s="448"/>
      <c r="I526" s="448"/>
      <c r="J526" s="448"/>
      <c r="K526" s="448"/>
      <c r="L526" s="448"/>
      <c r="M526" s="448"/>
      <c r="N526" s="448"/>
      <c r="O526" s="448"/>
      <c r="P526" s="448"/>
      <c r="Q526" s="448"/>
      <c r="R526" s="448"/>
      <c r="S526" s="448"/>
    </row>
    <row r="527" spans="1:19" x14ac:dyDescent="0.15">
      <c r="A527" s="448"/>
      <c r="B527" s="448"/>
      <c r="C527" s="448"/>
      <c r="D527" s="448"/>
      <c r="E527" s="448"/>
      <c r="F527" s="448"/>
      <c r="G527" s="448"/>
      <c r="H527" s="448"/>
      <c r="I527" s="448"/>
      <c r="J527" s="448"/>
      <c r="K527" s="448"/>
      <c r="L527" s="448"/>
      <c r="M527" s="448"/>
      <c r="N527" s="448"/>
      <c r="O527" s="448"/>
      <c r="P527" s="448"/>
      <c r="Q527" s="448"/>
      <c r="R527" s="448"/>
      <c r="S527" s="448"/>
    </row>
    <row r="528" spans="1:19" x14ac:dyDescent="0.15">
      <c r="A528" s="448"/>
      <c r="B528" s="448"/>
      <c r="C528" s="448"/>
      <c r="D528" s="448"/>
      <c r="E528" s="448"/>
      <c r="F528" s="448"/>
      <c r="G528" s="448"/>
      <c r="H528" s="448"/>
      <c r="I528" s="448"/>
      <c r="J528" s="448"/>
      <c r="K528" s="448"/>
      <c r="L528" s="448"/>
      <c r="M528" s="448"/>
      <c r="N528" s="448"/>
      <c r="O528" s="448"/>
      <c r="P528" s="448"/>
      <c r="Q528" s="448"/>
      <c r="R528" s="448"/>
      <c r="S528" s="448"/>
    </row>
    <row r="529" spans="1:19" x14ac:dyDescent="0.15">
      <c r="A529" s="448"/>
      <c r="B529" s="448"/>
      <c r="C529" s="448"/>
      <c r="D529" s="448"/>
      <c r="E529" s="448"/>
      <c r="F529" s="448"/>
      <c r="G529" s="448"/>
      <c r="H529" s="448"/>
      <c r="I529" s="448"/>
      <c r="J529" s="448"/>
      <c r="K529" s="448"/>
      <c r="L529" s="448"/>
      <c r="M529" s="448"/>
      <c r="N529" s="448"/>
      <c r="O529" s="448"/>
      <c r="P529" s="448"/>
      <c r="Q529" s="448"/>
      <c r="R529" s="448"/>
      <c r="S529" s="448"/>
    </row>
    <row r="530" spans="1:19" x14ac:dyDescent="0.15">
      <c r="A530" s="448"/>
      <c r="B530" s="448"/>
      <c r="C530" s="448"/>
      <c r="D530" s="448"/>
      <c r="E530" s="448"/>
      <c r="F530" s="448"/>
      <c r="G530" s="448"/>
      <c r="H530" s="448"/>
      <c r="I530" s="448"/>
      <c r="J530" s="448"/>
      <c r="K530" s="448"/>
      <c r="L530" s="448"/>
      <c r="M530" s="448"/>
      <c r="N530" s="448"/>
      <c r="O530" s="448"/>
      <c r="P530" s="448"/>
      <c r="Q530" s="448"/>
      <c r="R530" s="448"/>
      <c r="S530" s="448"/>
    </row>
    <row r="531" spans="1:19" x14ac:dyDescent="0.15">
      <c r="A531" s="448"/>
      <c r="B531" s="448"/>
      <c r="C531" s="448"/>
      <c r="D531" s="448"/>
      <c r="E531" s="448"/>
      <c r="F531" s="448"/>
      <c r="G531" s="448"/>
      <c r="H531" s="448"/>
      <c r="I531" s="448"/>
      <c r="J531" s="448"/>
      <c r="K531" s="448"/>
      <c r="L531" s="448"/>
      <c r="M531" s="448"/>
      <c r="N531" s="448"/>
      <c r="O531" s="448"/>
      <c r="P531" s="448"/>
      <c r="Q531" s="448"/>
      <c r="R531" s="448"/>
      <c r="S531" s="448"/>
    </row>
    <row r="532" spans="1:19" x14ac:dyDescent="0.15">
      <c r="A532" s="448"/>
      <c r="B532" s="448"/>
      <c r="C532" s="448"/>
      <c r="D532" s="448"/>
      <c r="E532" s="448"/>
      <c r="F532" s="448"/>
      <c r="G532" s="448"/>
      <c r="H532" s="448"/>
      <c r="I532" s="448"/>
      <c r="J532" s="448"/>
      <c r="K532" s="448"/>
      <c r="L532" s="448"/>
      <c r="M532" s="448"/>
      <c r="N532" s="448"/>
      <c r="O532" s="448"/>
      <c r="P532" s="448"/>
      <c r="Q532" s="448"/>
      <c r="R532" s="448"/>
      <c r="S532" s="448"/>
    </row>
    <row r="533" spans="1:19" x14ac:dyDescent="0.15">
      <c r="A533" s="448"/>
      <c r="B533" s="448"/>
      <c r="C533" s="448"/>
      <c r="D533" s="448"/>
      <c r="E533" s="448"/>
      <c r="F533" s="448"/>
      <c r="G533" s="448"/>
      <c r="H533" s="448"/>
      <c r="I533" s="448"/>
      <c r="J533" s="448"/>
      <c r="K533" s="448"/>
      <c r="L533" s="448"/>
      <c r="M533" s="448"/>
      <c r="N533" s="448"/>
      <c r="O533" s="448"/>
      <c r="P533" s="448"/>
      <c r="Q533" s="448"/>
      <c r="R533" s="448"/>
      <c r="S533" s="448"/>
    </row>
    <row r="534" spans="1:19" x14ac:dyDescent="0.15">
      <c r="A534" s="448"/>
      <c r="B534" s="448"/>
      <c r="C534" s="448"/>
      <c r="D534" s="448"/>
      <c r="E534" s="448"/>
      <c r="F534" s="448"/>
      <c r="G534" s="448"/>
      <c r="H534" s="448"/>
      <c r="I534" s="448"/>
      <c r="J534" s="448"/>
      <c r="K534" s="448"/>
      <c r="L534" s="448"/>
      <c r="M534" s="448"/>
      <c r="N534" s="448"/>
      <c r="O534" s="448"/>
      <c r="P534" s="448"/>
      <c r="Q534" s="448"/>
      <c r="R534" s="448"/>
      <c r="S534" s="448"/>
    </row>
    <row r="535" spans="1:19" x14ac:dyDescent="0.15">
      <c r="A535" s="448"/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</row>
    <row r="536" spans="1:19" x14ac:dyDescent="0.15">
      <c r="A536" s="448"/>
      <c r="B536" s="448"/>
      <c r="C536" s="448"/>
      <c r="D536" s="448"/>
      <c r="E536" s="448"/>
      <c r="F536" s="448"/>
      <c r="G536" s="448"/>
      <c r="H536" s="448"/>
      <c r="I536" s="448"/>
      <c r="J536" s="448"/>
      <c r="K536" s="448"/>
      <c r="L536" s="448"/>
      <c r="M536" s="448"/>
      <c r="N536" s="448"/>
      <c r="O536" s="448"/>
      <c r="P536" s="448"/>
      <c r="Q536" s="448"/>
      <c r="R536" s="448"/>
      <c r="S536" s="448"/>
    </row>
    <row r="537" spans="1:19" x14ac:dyDescent="0.15">
      <c r="A537" s="448"/>
      <c r="B537" s="448"/>
      <c r="C537" s="448"/>
      <c r="D537" s="448"/>
      <c r="E537" s="448"/>
      <c r="F537" s="448"/>
      <c r="G537" s="448"/>
      <c r="H537" s="448"/>
      <c r="I537" s="448"/>
      <c r="J537" s="448"/>
      <c r="K537" s="448"/>
      <c r="L537" s="448"/>
      <c r="M537" s="448"/>
      <c r="N537" s="448"/>
      <c r="O537" s="448"/>
      <c r="P537" s="448"/>
      <c r="Q537" s="448"/>
      <c r="R537" s="448"/>
      <c r="S537" s="448"/>
    </row>
    <row r="538" spans="1:19" x14ac:dyDescent="0.15">
      <c r="A538" s="448"/>
      <c r="B538" s="448"/>
      <c r="C538" s="448"/>
      <c r="D538" s="448"/>
      <c r="E538" s="448"/>
      <c r="F538" s="448"/>
      <c r="G538" s="448"/>
      <c r="H538" s="448"/>
      <c r="I538" s="448"/>
      <c r="J538" s="448"/>
      <c r="K538" s="448"/>
      <c r="L538" s="448"/>
      <c r="M538" s="448"/>
      <c r="N538" s="448"/>
      <c r="O538" s="448"/>
      <c r="P538" s="448"/>
      <c r="Q538" s="448"/>
      <c r="R538" s="448"/>
      <c r="S538" s="448"/>
    </row>
    <row r="539" spans="1:19" x14ac:dyDescent="0.15">
      <c r="A539" s="448"/>
      <c r="B539" s="448"/>
      <c r="C539" s="448"/>
      <c r="D539" s="448"/>
      <c r="E539" s="448"/>
      <c r="F539" s="448"/>
      <c r="G539" s="448"/>
      <c r="H539" s="448"/>
      <c r="I539" s="448"/>
      <c r="J539" s="448"/>
      <c r="K539" s="448"/>
      <c r="L539" s="448"/>
      <c r="M539" s="448"/>
      <c r="N539" s="448"/>
      <c r="O539" s="448"/>
      <c r="P539" s="448"/>
      <c r="Q539" s="448"/>
      <c r="R539" s="448"/>
      <c r="S539" s="448"/>
    </row>
    <row r="540" spans="1:19" x14ac:dyDescent="0.15">
      <c r="A540" s="448"/>
      <c r="B540" s="448"/>
      <c r="C540" s="448"/>
      <c r="D540" s="448"/>
      <c r="E540" s="448"/>
      <c r="F540" s="448"/>
      <c r="G540" s="448"/>
      <c r="H540" s="448"/>
      <c r="I540" s="448"/>
      <c r="J540" s="448"/>
      <c r="K540" s="448"/>
      <c r="L540" s="448"/>
      <c r="M540" s="448"/>
      <c r="N540" s="448"/>
      <c r="O540" s="448"/>
      <c r="P540" s="448"/>
      <c r="Q540" s="448"/>
      <c r="R540" s="448"/>
      <c r="S540" s="448"/>
    </row>
    <row r="541" spans="1:19" x14ac:dyDescent="0.15">
      <c r="A541" s="448"/>
      <c r="B541" s="448"/>
      <c r="C541" s="448"/>
      <c r="D541" s="448"/>
      <c r="E541" s="448"/>
      <c r="F541" s="448"/>
      <c r="G541" s="448"/>
      <c r="H541" s="448"/>
      <c r="I541" s="448"/>
      <c r="J541" s="448"/>
      <c r="K541" s="448"/>
      <c r="L541" s="448"/>
      <c r="M541" s="448"/>
      <c r="N541" s="448"/>
      <c r="O541" s="448"/>
      <c r="P541" s="448"/>
      <c r="Q541" s="448"/>
      <c r="R541" s="448"/>
      <c r="S541" s="448"/>
    </row>
    <row r="542" spans="1:19" x14ac:dyDescent="0.15">
      <c r="A542" s="448"/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</row>
    <row r="543" spans="1:19" x14ac:dyDescent="0.15">
      <c r="A543" s="448"/>
      <c r="B543" s="448"/>
      <c r="C543" s="448"/>
      <c r="D543" s="448"/>
      <c r="E543" s="448"/>
      <c r="F543" s="448"/>
      <c r="G543" s="448"/>
      <c r="H543" s="448"/>
      <c r="I543" s="448"/>
      <c r="J543" s="448"/>
      <c r="K543" s="448"/>
      <c r="L543" s="448"/>
      <c r="M543" s="448"/>
      <c r="N543" s="448"/>
      <c r="O543" s="448"/>
      <c r="P543" s="448"/>
      <c r="Q543" s="448"/>
      <c r="R543" s="448"/>
      <c r="S543" s="448"/>
    </row>
    <row r="544" spans="1:19" x14ac:dyDescent="0.15">
      <c r="A544" s="448"/>
      <c r="B544" s="448"/>
      <c r="C544" s="448"/>
      <c r="D544" s="448"/>
      <c r="E544" s="448"/>
      <c r="F544" s="448"/>
      <c r="G544" s="448"/>
      <c r="H544" s="448"/>
      <c r="I544" s="448"/>
      <c r="J544" s="448"/>
      <c r="K544" s="448"/>
      <c r="L544" s="448"/>
      <c r="M544" s="448"/>
      <c r="N544" s="448"/>
      <c r="O544" s="448"/>
      <c r="P544" s="448"/>
      <c r="Q544" s="448"/>
      <c r="R544" s="448"/>
      <c r="S544" s="448"/>
    </row>
    <row r="545" spans="1:19" x14ac:dyDescent="0.15">
      <c r="A545" s="448"/>
      <c r="B545" s="448"/>
      <c r="C545" s="448"/>
      <c r="D545" s="448"/>
      <c r="E545" s="448"/>
      <c r="F545" s="448"/>
      <c r="G545" s="448"/>
      <c r="H545" s="448"/>
      <c r="I545" s="448"/>
      <c r="J545" s="448"/>
      <c r="K545" s="448"/>
      <c r="L545" s="448"/>
      <c r="M545" s="448"/>
      <c r="N545" s="448"/>
      <c r="O545" s="448"/>
      <c r="P545" s="448"/>
      <c r="Q545" s="448"/>
      <c r="R545" s="448"/>
      <c r="S545" s="448"/>
    </row>
    <row r="546" spans="1:19" x14ac:dyDescent="0.15">
      <c r="A546" s="448"/>
      <c r="B546" s="448"/>
      <c r="C546" s="448"/>
      <c r="D546" s="448"/>
      <c r="E546" s="448"/>
      <c r="F546" s="448"/>
      <c r="G546" s="448"/>
      <c r="H546" s="448"/>
      <c r="I546" s="448"/>
      <c r="J546" s="448"/>
      <c r="K546" s="448"/>
      <c r="L546" s="448"/>
      <c r="M546" s="448"/>
      <c r="N546" s="448"/>
      <c r="O546" s="448"/>
      <c r="P546" s="448"/>
      <c r="Q546" s="448"/>
      <c r="R546" s="448"/>
      <c r="S546" s="448"/>
    </row>
    <row r="547" spans="1:19" x14ac:dyDescent="0.15">
      <c r="A547" s="448"/>
      <c r="B547" s="448"/>
      <c r="C547" s="448"/>
      <c r="D547" s="448"/>
      <c r="E547" s="448"/>
      <c r="F547" s="448"/>
      <c r="G547" s="448"/>
      <c r="H547" s="448"/>
      <c r="I547" s="448"/>
      <c r="J547" s="448"/>
      <c r="K547" s="448"/>
      <c r="L547" s="448"/>
      <c r="M547" s="448"/>
      <c r="N547" s="448"/>
      <c r="O547" s="448"/>
      <c r="P547" s="448"/>
      <c r="Q547" s="448"/>
      <c r="R547" s="448"/>
      <c r="S547" s="448"/>
    </row>
    <row r="548" spans="1:19" x14ac:dyDescent="0.15">
      <c r="A548" s="448"/>
      <c r="B548" s="448"/>
      <c r="C548" s="448"/>
      <c r="D548" s="448"/>
      <c r="E548" s="448"/>
      <c r="F548" s="448"/>
      <c r="G548" s="448"/>
      <c r="H548" s="448"/>
      <c r="I548" s="448"/>
      <c r="J548" s="448"/>
      <c r="K548" s="448"/>
      <c r="L548" s="448"/>
      <c r="M548" s="448"/>
      <c r="N548" s="448"/>
      <c r="O548" s="448"/>
      <c r="P548" s="448"/>
      <c r="Q548" s="448"/>
      <c r="R548" s="448"/>
      <c r="S548" s="448"/>
    </row>
    <row r="549" spans="1:19" x14ac:dyDescent="0.15">
      <c r="A549" s="448"/>
      <c r="B549" s="448"/>
      <c r="C549" s="448"/>
      <c r="D549" s="448"/>
      <c r="E549" s="448"/>
      <c r="F549" s="448"/>
      <c r="G549" s="448"/>
      <c r="H549" s="448"/>
      <c r="I549" s="448"/>
      <c r="J549" s="448"/>
      <c r="K549" s="448"/>
      <c r="L549" s="448"/>
      <c r="M549" s="448"/>
      <c r="N549" s="448"/>
      <c r="O549" s="448"/>
      <c r="P549" s="448"/>
      <c r="Q549" s="448"/>
      <c r="R549" s="448"/>
      <c r="S549" s="448"/>
    </row>
    <row r="550" spans="1:19" x14ac:dyDescent="0.15">
      <c r="A550" s="448"/>
      <c r="B550" s="448"/>
      <c r="C550" s="448"/>
      <c r="D550" s="448"/>
      <c r="E550" s="448"/>
      <c r="F550" s="448"/>
      <c r="G550" s="448"/>
      <c r="H550" s="448"/>
      <c r="I550" s="448"/>
      <c r="J550" s="448"/>
      <c r="K550" s="448"/>
      <c r="L550" s="448"/>
      <c r="M550" s="448"/>
      <c r="N550" s="448"/>
      <c r="O550" s="448"/>
      <c r="P550" s="448"/>
      <c r="Q550" s="448"/>
      <c r="R550" s="448"/>
      <c r="S550" s="448"/>
    </row>
    <row r="551" spans="1:19" x14ac:dyDescent="0.15">
      <c r="A551" s="448"/>
      <c r="B551" s="448"/>
      <c r="C551" s="448"/>
      <c r="D551" s="448"/>
      <c r="E551" s="448"/>
      <c r="F551" s="448"/>
      <c r="G551" s="448"/>
      <c r="H551" s="448"/>
      <c r="I551" s="448"/>
      <c r="J551" s="448"/>
      <c r="K551" s="448"/>
      <c r="L551" s="448"/>
      <c r="M551" s="448"/>
      <c r="N551" s="448"/>
      <c r="O551" s="448"/>
      <c r="P551" s="448"/>
      <c r="Q551" s="448"/>
      <c r="R551" s="448"/>
      <c r="S551" s="448"/>
    </row>
    <row r="552" spans="1:19" x14ac:dyDescent="0.15">
      <c r="A552" s="448"/>
      <c r="B552" s="448"/>
      <c r="C552" s="448"/>
      <c r="D552" s="448"/>
      <c r="E552" s="448"/>
      <c r="F552" s="448"/>
      <c r="G552" s="448"/>
      <c r="H552" s="448"/>
      <c r="I552" s="448"/>
      <c r="J552" s="448"/>
      <c r="K552" s="448"/>
      <c r="L552" s="448"/>
      <c r="M552" s="448"/>
      <c r="N552" s="448"/>
      <c r="O552" s="448"/>
      <c r="P552" s="448"/>
      <c r="Q552" s="448"/>
      <c r="R552" s="448"/>
      <c r="S552" s="448"/>
    </row>
    <row r="553" spans="1:19" x14ac:dyDescent="0.15">
      <c r="A553" s="448"/>
      <c r="B553" s="448"/>
      <c r="C553" s="448"/>
      <c r="D553" s="448"/>
      <c r="E553" s="448"/>
      <c r="F553" s="448"/>
      <c r="G553" s="448"/>
      <c r="H553" s="448"/>
      <c r="I553" s="448"/>
      <c r="J553" s="448"/>
      <c r="K553" s="448"/>
      <c r="L553" s="448"/>
      <c r="M553" s="448"/>
      <c r="N553" s="448"/>
      <c r="O553" s="448"/>
      <c r="P553" s="448"/>
      <c r="Q553" s="448"/>
      <c r="R553" s="448"/>
      <c r="S553" s="448"/>
    </row>
    <row r="554" spans="1:19" x14ac:dyDescent="0.15">
      <c r="A554" s="448"/>
      <c r="B554" s="448"/>
      <c r="C554" s="448"/>
      <c r="D554" s="448"/>
      <c r="E554" s="448"/>
      <c r="F554" s="448"/>
      <c r="G554" s="448"/>
      <c r="H554" s="448"/>
      <c r="I554" s="448"/>
      <c r="J554" s="448"/>
      <c r="K554" s="448"/>
      <c r="L554" s="448"/>
      <c r="M554" s="448"/>
      <c r="N554" s="448"/>
      <c r="O554" s="448"/>
      <c r="P554" s="448"/>
      <c r="Q554" s="448"/>
      <c r="R554" s="448"/>
      <c r="S554" s="448"/>
    </row>
    <row r="555" spans="1:19" x14ac:dyDescent="0.15">
      <c r="A555" s="448"/>
      <c r="B555" s="448"/>
      <c r="C555" s="448"/>
      <c r="D555" s="448"/>
      <c r="E555" s="448"/>
      <c r="F555" s="448"/>
      <c r="G555" s="448"/>
      <c r="H555" s="448"/>
      <c r="I555" s="448"/>
      <c r="J555" s="448"/>
      <c r="K555" s="448"/>
      <c r="L555" s="448"/>
      <c r="M555" s="448"/>
      <c r="N555" s="448"/>
      <c r="O555" s="448"/>
      <c r="P555" s="448"/>
      <c r="Q555" s="448"/>
      <c r="R555" s="448"/>
      <c r="S555" s="448"/>
    </row>
    <row r="556" spans="1:19" x14ac:dyDescent="0.15">
      <c r="A556" s="448"/>
      <c r="B556" s="448"/>
      <c r="C556" s="448"/>
      <c r="D556" s="448"/>
      <c r="E556" s="448"/>
      <c r="F556" s="448"/>
      <c r="G556" s="448"/>
      <c r="H556" s="448"/>
      <c r="I556" s="448"/>
      <c r="J556" s="448"/>
      <c r="K556" s="448"/>
      <c r="L556" s="448"/>
      <c r="M556" s="448"/>
      <c r="N556" s="448"/>
      <c r="O556" s="448"/>
      <c r="P556" s="448"/>
      <c r="Q556" s="448"/>
      <c r="R556" s="448"/>
      <c r="S556" s="448"/>
    </row>
    <row r="557" spans="1:19" x14ac:dyDescent="0.15">
      <c r="A557" s="448"/>
      <c r="B557" s="448"/>
      <c r="C557" s="448"/>
      <c r="D557" s="448"/>
      <c r="E557" s="448"/>
      <c r="F557" s="448"/>
      <c r="G557" s="448"/>
      <c r="H557" s="448"/>
      <c r="I557" s="448"/>
      <c r="J557" s="448"/>
      <c r="K557" s="448"/>
      <c r="L557" s="448"/>
      <c r="M557" s="448"/>
      <c r="N557" s="448"/>
      <c r="O557" s="448"/>
      <c r="P557" s="448"/>
      <c r="Q557" s="448"/>
      <c r="R557" s="448"/>
      <c r="S557" s="448"/>
    </row>
    <row r="558" spans="1:19" x14ac:dyDescent="0.15">
      <c r="A558" s="448"/>
      <c r="B558" s="448"/>
      <c r="C558" s="448"/>
      <c r="D558" s="448"/>
      <c r="E558" s="448"/>
      <c r="F558" s="448"/>
      <c r="G558" s="448"/>
      <c r="H558" s="448"/>
      <c r="I558" s="448"/>
      <c r="J558" s="448"/>
      <c r="K558" s="448"/>
      <c r="L558" s="448"/>
      <c r="M558" s="448"/>
      <c r="N558" s="448"/>
      <c r="O558" s="448"/>
      <c r="P558" s="448"/>
      <c r="Q558" s="448"/>
      <c r="R558" s="448"/>
      <c r="S558" s="448"/>
    </row>
    <row r="559" spans="1:19" x14ac:dyDescent="0.15">
      <c r="A559" s="448"/>
      <c r="B559" s="448"/>
      <c r="C559" s="448"/>
      <c r="D559" s="448"/>
      <c r="E559" s="448"/>
      <c r="F559" s="448"/>
      <c r="G559" s="448"/>
      <c r="H559" s="448"/>
      <c r="I559" s="448"/>
      <c r="J559" s="448"/>
      <c r="K559" s="448"/>
      <c r="L559" s="448"/>
      <c r="M559" s="448"/>
      <c r="N559" s="448"/>
      <c r="O559" s="448"/>
      <c r="P559" s="448"/>
      <c r="Q559" s="448"/>
      <c r="R559" s="448"/>
      <c r="S559" s="448"/>
    </row>
    <row r="560" spans="1:19" x14ac:dyDescent="0.15">
      <c r="A560" s="448"/>
      <c r="B560" s="448"/>
      <c r="C560" s="448"/>
      <c r="D560" s="448"/>
      <c r="E560" s="448"/>
      <c r="F560" s="448"/>
      <c r="G560" s="448"/>
      <c r="H560" s="448"/>
      <c r="I560" s="448"/>
      <c r="J560" s="448"/>
      <c r="K560" s="448"/>
      <c r="L560" s="448"/>
      <c r="M560" s="448"/>
      <c r="N560" s="448"/>
      <c r="O560" s="448"/>
      <c r="P560" s="448"/>
      <c r="Q560" s="448"/>
      <c r="R560" s="448"/>
      <c r="S560" s="448"/>
    </row>
    <row r="561" spans="1:19" x14ac:dyDescent="0.15">
      <c r="A561" s="448"/>
      <c r="B561" s="448"/>
      <c r="C561" s="448"/>
      <c r="D561" s="448"/>
      <c r="E561" s="448"/>
      <c r="F561" s="448"/>
      <c r="G561" s="448"/>
      <c r="H561" s="448"/>
      <c r="I561" s="448"/>
      <c r="J561" s="448"/>
      <c r="K561" s="448"/>
      <c r="L561" s="448"/>
      <c r="M561" s="448"/>
      <c r="N561" s="448"/>
      <c r="O561" s="448"/>
      <c r="P561" s="448"/>
      <c r="Q561" s="448"/>
      <c r="R561" s="448"/>
      <c r="S561" s="448"/>
    </row>
    <row r="562" spans="1:19" x14ac:dyDescent="0.15">
      <c r="A562" s="448"/>
      <c r="B562" s="448"/>
      <c r="C562" s="448"/>
      <c r="D562" s="448"/>
      <c r="E562" s="448"/>
      <c r="F562" s="448"/>
      <c r="G562" s="448"/>
      <c r="H562" s="448"/>
      <c r="I562" s="448"/>
      <c r="J562" s="448"/>
      <c r="K562" s="448"/>
      <c r="L562" s="448"/>
      <c r="M562" s="448"/>
      <c r="N562" s="448"/>
      <c r="O562" s="448"/>
      <c r="P562" s="448"/>
      <c r="Q562" s="448"/>
      <c r="R562" s="448"/>
      <c r="S562" s="448"/>
    </row>
    <row r="563" spans="1:19" x14ac:dyDescent="0.15">
      <c r="A563" s="448"/>
      <c r="B563" s="448"/>
      <c r="C563" s="448"/>
      <c r="D563" s="448"/>
      <c r="E563" s="448"/>
      <c r="F563" s="448"/>
      <c r="G563" s="448"/>
      <c r="H563" s="448"/>
      <c r="I563" s="448"/>
      <c r="J563" s="448"/>
      <c r="K563" s="448"/>
      <c r="L563" s="448"/>
      <c r="M563" s="448"/>
      <c r="N563" s="448"/>
      <c r="O563" s="448"/>
      <c r="P563" s="448"/>
      <c r="Q563" s="448"/>
      <c r="R563" s="448"/>
      <c r="S563" s="448"/>
    </row>
    <row r="564" spans="1:19" x14ac:dyDescent="0.15">
      <c r="A564" s="448"/>
      <c r="B564" s="448"/>
      <c r="C564" s="448"/>
      <c r="D564" s="448"/>
      <c r="E564" s="448"/>
      <c r="F564" s="448"/>
      <c r="G564" s="448"/>
      <c r="H564" s="448"/>
      <c r="I564" s="448"/>
      <c r="J564" s="448"/>
      <c r="K564" s="448"/>
      <c r="L564" s="448"/>
      <c r="M564" s="448"/>
      <c r="N564" s="448"/>
      <c r="O564" s="448"/>
      <c r="P564" s="448"/>
      <c r="Q564" s="448"/>
      <c r="R564" s="448"/>
      <c r="S564" s="448"/>
    </row>
    <row r="565" spans="1:19" x14ac:dyDescent="0.15">
      <c r="A565" s="448"/>
      <c r="B565" s="448"/>
      <c r="C565" s="448"/>
      <c r="D565" s="448"/>
      <c r="E565" s="448"/>
      <c r="F565" s="448"/>
      <c r="G565" s="448"/>
      <c r="H565" s="448"/>
      <c r="I565" s="448"/>
      <c r="J565" s="448"/>
      <c r="K565" s="448"/>
      <c r="L565" s="448"/>
      <c r="M565" s="448"/>
      <c r="N565" s="448"/>
      <c r="O565" s="448"/>
      <c r="P565" s="448"/>
      <c r="Q565" s="448"/>
      <c r="R565" s="448"/>
      <c r="S565" s="448"/>
    </row>
    <row r="566" spans="1:19" x14ac:dyDescent="0.15">
      <c r="A566" s="448"/>
      <c r="B566" s="448"/>
      <c r="C566" s="448"/>
      <c r="D566" s="448"/>
      <c r="E566" s="448"/>
      <c r="F566" s="448"/>
      <c r="G566" s="448"/>
      <c r="H566" s="448"/>
      <c r="I566" s="448"/>
      <c r="J566" s="448"/>
      <c r="K566" s="448"/>
      <c r="L566" s="448"/>
      <c r="M566" s="448"/>
      <c r="N566" s="448"/>
      <c r="O566" s="448"/>
      <c r="P566" s="448"/>
      <c r="Q566" s="448"/>
      <c r="R566" s="448"/>
      <c r="S566" s="448"/>
    </row>
    <row r="567" spans="1:19" x14ac:dyDescent="0.15">
      <c r="A567" s="448"/>
      <c r="B567" s="448"/>
      <c r="C567" s="448"/>
      <c r="D567" s="448"/>
      <c r="E567" s="448"/>
      <c r="F567" s="448"/>
      <c r="G567" s="448"/>
      <c r="H567" s="448"/>
      <c r="I567" s="448"/>
      <c r="J567" s="448"/>
      <c r="K567" s="448"/>
      <c r="L567" s="448"/>
      <c r="M567" s="448"/>
      <c r="N567" s="448"/>
      <c r="O567" s="448"/>
      <c r="P567" s="448"/>
      <c r="Q567" s="448"/>
      <c r="R567" s="448"/>
      <c r="S567" s="448"/>
    </row>
    <row r="568" spans="1:19" x14ac:dyDescent="0.15">
      <c r="A568" s="448"/>
      <c r="B568" s="448"/>
      <c r="C568" s="448"/>
      <c r="D568" s="448"/>
      <c r="E568" s="448"/>
      <c r="F568" s="448"/>
      <c r="G568" s="448"/>
      <c r="H568" s="448"/>
      <c r="I568" s="448"/>
      <c r="J568" s="448"/>
      <c r="K568" s="448"/>
      <c r="L568" s="448"/>
      <c r="M568" s="448"/>
      <c r="N568" s="448"/>
      <c r="O568" s="448"/>
      <c r="P568" s="448"/>
      <c r="Q568" s="448"/>
      <c r="R568" s="448"/>
      <c r="S568" s="448"/>
    </row>
    <row r="569" spans="1:19" x14ac:dyDescent="0.15">
      <c r="A569" s="448"/>
      <c r="B569" s="448"/>
      <c r="C569" s="448"/>
      <c r="D569" s="448"/>
      <c r="E569" s="448"/>
      <c r="F569" s="448"/>
      <c r="G569" s="448"/>
      <c r="H569" s="448"/>
      <c r="I569" s="448"/>
      <c r="J569" s="448"/>
      <c r="K569" s="448"/>
      <c r="L569" s="448"/>
      <c r="M569" s="448"/>
      <c r="N569" s="448"/>
      <c r="O569" s="448"/>
      <c r="P569" s="448"/>
      <c r="Q569" s="448"/>
      <c r="R569" s="448"/>
      <c r="S569" s="448"/>
    </row>
    <row r="570" spans="1:19" x14ac:dyDescent="0.15">
      <c r="A570" s="448"/>
      <c r="B570" s="448"/>
      <c r="C570" s="448"/>
      <c r="D570" s="448"/>
      <c r="E570" s="448"/>
      <c r="F570" s="448"/>
      <c r="G570" s="448"/>
      <c r="H570" s="448"/>
      <c r="I570" s="448"/>
      <c r="J570" s="448"/>
      <c r="K570" s="448"/>
      <c r="L570" s="448"/>
      <c r="M570" s="448"/>
      <c r="N570" s="448"/>
      <c r="O570" s="448"/>
      <c r="P570" s="448"/>
      <c r="Q570" s="448"/>
      <c r="R570" s="448"/>
      <c r="S570" s="448"/>
    </row>
    <row r="571" spans="1:19" x14ac:dyDescent="0.15">
      <c r="A571" s="448"/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</row>
    <row r="572" spans="1:19" x14ac:dyDescent="0.15">
      <c r="A572" s="448"/>
      <c r="B572" s="448"/>
      <c r="C572" s="448"/>
      <c r="D572" s="448"/>
      <c r="E572" s="448"/>
      <c r="F572" s="448"/>
      <c r="G572" s="448"/>
      <c r="H572" s="448"/>
      <c r="I572" s="448"/>
      <c r="J572" s="448"/>
      <c r="K572" s="448"/>
      <c r="L572" s="448"/>
      <c r="M572" s="448"/>
      <c r="N572" s="448"/>
      <c r="O572" s="448"/>
      <c r="P572" s="448"/>
      <c r="Q572" s="448"/>
      <c r="R572" s="448"/>
      <c r="S572" s="448"/>
    </row>
    <row r="573" spans="1:19" x14ac:dyDescent="0.15">
      <c r="A573" s="448"/>
      <c r="B573" s="448"/>
      <c r="C573" s="448"/>
      <c r="D573" s="448"/>
      <c r="E573" s="448"/>
      <c r="F573" s="448"/>
      <c r="G573" s="448"/>
      <c r="H573" s="448"/>
      <c r="I573" s="448"/>
      <c r="J573" s="448"/>
      <c r="K573" s="448"/>
      <c r="L573" s="448"/>
      <c r="M573" s="448"/>
      <c r="N573" s="448"/>
      <c r="O573" s="448"/>
      <c r="P573" s="448"/>
      <c r="Q573" s="448"/>
      <c r="R573" s="448"/>
      <c r="S573" s="448"/>
    </row>
    <row r="574" spans="1:19" x14ac:dyDescent="0.15">
      <c r="A574" s="448"/>
      <c r="B574" s="448"/>
      <c r="C574" s="448"/>
      <c r="D574" s="448"/>
      <c r="E574" s="448"/>
      <c r="F574" s="448"/>
      <c r="G574" s="448"/>
      <c r="H574" s="448"/>
      <c r="I574" s="448"/>
      <c r="J574" s="448"/>
      <c r="K574" s="448"/>
      <c r="L574" s="448"/>
      <c r="M574" s="448"/>
      <c r="N574" s="448"/>
      <c r="O574" s="448"/>
      <c r="P574" s="448"/>
      <c r="Q574" s="448"/>
      <c r="R574" s="448"/>
      <c r="S574" s="448"/>
    </row>
    <row r="575" spans="1:19" x14ac:dyDescent="0.15">
      <c r="A575" s="448"/>
      <c r="B575" s="448"/>
      <c r="C575" s="448"/>
      <c r="D575" s="448"/>
      <c r="E575" s="448"/>
      <c r="F575" s="448"/>
      <c r="G575" s="448"/>
      <c r="H575" s="448"/>
      <c r="I575" s="448"/>
      <c r="J575" s="448"/>
      <c r="K575" s="448"/>
      <c r="L575" s="448"/>
      <c r="M575" s="448"/>
      <c r="N575" s="448"/>
      <c r="O575" s="448"/>
      <c r="P575" s="448"/>
      <c r="Q575" s="448"/>
      <c r="R575" s="448"/>
      <c r="S575" s="448"/>
    </row>
    <row r="576" spans="1:19" x14ac:dyDescent="0.15">
      <c r="A576" s="448"/>
      <c r="B576" s="448"/>
      <c r="C576" s="448"/>
      <c r="D576" s="448"/>
      <c r="E576" s="448"/>
      <c r="F576" s="448"/>
      <c r="G576" s="448"/>
      <c r="H576" s="448"/>
      <c r="I576" s="448"/>
      <c r="J576" s="448"/>
      <c r="K576" s="448"/>
      <c r="L576" s="448"/>
      <c r="M576" s="448"/>
      <c r="N576" s="448"/>
      <c r="O576" s="448"/>
      <c r="P576" s="448"/>
      <c r="Q576" s="448"/>
      <c r="R576" s="448"/>
      <c r="S576" s="448"/>
    </row>
    <row r="577" spans="1:19" x14ac:dyDescent="0.15">
      <c r="A577" s="448"/>
      <c r="B577" s="448"/>
      <c r="C577" s="448"/>
      <c r="D577" s="448"/>
      <c r="E577" s="448"/>
      <c r="F577" s="448"/>
      <c r="G577" s="448"/>
      <c r="H577" s="448"/>
      <c r="I577" s="448"/>
      <c r="J577" s="448"/>
      <c r="K577" s="448"/>
      <c r="L577" s="448"/>
      <c r="M577" s="448"/>
      <c r="N577" s="448"/>
      <c r="O577" s="448"/>
      <c r="P577" s="448"/>
      <c r="Q577" s="448"/>
      <c r="R577" s="448"/>
      <c r="S577" s="448"/>
    </row>
    <row r="578" spans="1:19" x14ac:dyDescent="0.15">
      <c r="A578" s="448"/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</row>
    <row r="579" spans="1:19" x14ac:dyDescent="0.15">
      <c r="A579" s="448"/>
      <c r="B579" s="448"/>
      <c r="C579" s="448"/>
      <c r="D579" s="448"/>
      <c r="E579" s="448"/>
      <c r="F579" s="448"/>
      <c r="G579" s="448"/>
      <c r="H579" s="448"/>
      <c r="I579" s="448"/>
      <c r="J579" s="448"/>
      <c r="K579" s="448"/>
      <c r="L579" s="448"/>
      <c r="M579" s="448"/>
      <c r="N579" s="448"/>
      <c r="O579" s="448"/>
      <c r="P579" s="448"/>
      <c r="Q579" s="448"/>
      <c r="R579" s="448"/>
      <c r="S579" s="448"/>
    </row>
    <row r="580" spans="1:19" x14ac:dyDescent="0.15">
      <c r="A580" s="448"/>
      <c r="B580" s="448"/>
      <c r="C580" s="448"/>
      <c r="D580" s="448"/>
      <c r="E580" s="448"/>
      <c r="F580" s="448"/>
      <c r="G580" s="448"/>
      <c r="H580" s="448"/>
      <c r="I580" s="448"/>
      <c r="J580" s="448"/>
      <c r="K580" s="448"/>
      <c r="L580" s="448"/>
      <c r="M580" s="448"/>
      <c r="N580" s="448"/>
      <c r="O580" s="448"/>
      <c r="P580" s="448"/>
      <c r="Q580" s="448"/>
      <c r="R580" s="448"/>
      <c r="S580" s="448"/>
    </row>
    <row r="581" spans="1:19" x14ac:dyDescent="0.15">
      <c r="A581" s="448"/>
      <c r="B581" s="448"/>
      <c r="C581" s="448"/>
      <c r="D581" s="448"/>
      <c r="E581" s="448"/>
      <c r="F581" s="448"/>
      <c r="G581" s="448"/>
      <c r="H581" s="448"/>
      <c r="I581" s="448"/>
      <c r="J581" s="448"/>
      <c r="K581" s="448"/>
      <c r="L581" s="448"/>
      <c r="M581" s="448"/>
      <c r="N581" s="448"/>
      <c r="O581" s="448"/>
      <c r="P581" s="448"/>
      <c r="Q581" s="448"/>
      <c r="R581" s="448"/>
      <c r="S581" s="448"/>
    </row>
    <row r="582" spans="1:19" x14ac:dyDescent="0.15">
      <c r="A582" s="448"/>
      <c r="B582" s="448"/>
      <c r="C582" s="448"/>
      <c r="D582" s="448"/>
      <c r="E582" s="448"/>
      <c r="F582" s="448"/>
      <c r="G582" s="448"/>
      <c r="H582" s="448"/>
      <c r="I582" s="448"/>
      <c r="J582" s="448"/>
      <c r="K582" s="448"/>
      <c r="L582" s="448"/>
      <c r="M582" s="448"/>
      <c r="N582" s="448"/>
      <c r="O582" s="448"/>
      <c r="P582" s="448"/>
      <c r="Q582" s="448"/>
      <c r="R582" s="448"/>
      <c r="S582" s="448"/>
    </row>
    <row r="583" spans="1:19" x14ac:dyDescent="0.15">
      <c r="A583" s="448"/>
      <c r="B583" s="448"/>
      <c r="C583" s="448"/>
      <c r="D583" s="448"/>
      <c r="E583" s="448"/>
      <c r="F583" s="448"/>
      <c r="G583" s="448"/>
      <c r="H583" s="448"/>
      <c r="I583" s="448"/>
      <c r="J583" s="448"/>
      <c r="K583" s="448"/>
      <c r="L583" s="448"/>
      <c r="M583" s="448"/>
      <c r="N583" s="448"/>
      <c r="O583" s="448"/>
      <c r="P583" s="448"/>
      <c r="Q583" s="448"/>
      <c r="R583" s="448"/>
      <c r="S583" s="448"/>
    </row>
    <row r="584" spans="1:19" x14ac:dyDescent="0.15">
      <c r="A584" s="448"/>
      <c r="B584" s="448"/>
      <c r="C584" s="448"/>
      <c r="D584" s="448"/>
      <c r="E584" s="448"/>
      <c r="F584" s="448"/>
      <c r="G584" s="448"/>
      <c r="H584" s="448"/>
      <c r="I584" s="448"/>
      <c r="J584" s="448"/>
      <c r="K584" s="448"/>
      <c r="L584" s="448"/>
      <c r="M584" s="448"/>
      <c r="N584" s="448"/>
      <c r="O584" s="448"/>
      <c r="P584" s="448"/>
      <c r="Q584" s="448"/>
      <c r="R584" s="448"/>
      <c r="S584" s="448"/>
    </row>
    <row r="585" spans="1:19" x14ac:dyDescent="0.15">
      <c r="A585" s="448"/>
      <c r="B585" s="448"/>
      <c r="C585" s="448"/>
      <c r="D585" s="448"/>
      <c r="E585" s="448"/>
      <c r="F585" s="448"/>
      <c r="G585" s="448"/>
      <c r="H585" s="448"/>
      <c r="I585" s="448"/>
      <c r="J585" s="448"/>
      <c r="K585" s="448"/>
      <c r="L585" s="448"/>
      <c r="M585" s="448"/>
      <c r="N585" s="448"/>
      <c r="O585" s="448"/>
      <c r="P585" s="448"/>
      <c r="Q585" s="448"/>
      <c r="R585" s="448"/>
      <c r="S585" s="448"/>
    </row>
    <row r="586" spans="1:19" x14ac:dyDescent="0.15">
      <c r="A586" s="448"/>
      <c r="B586" s="448"/>
      <c r="C586" s="448"/>
      <c r="D586" s="448"/>
      <c r="E586" s="448"/>
      <c r="F586" s="448"/>
      <c r="G586" s="448"/>
      <c r="H586" s="448"/>
      <c r="I586" s="448"/>
      <c r="J586" s="448"/>
      <c r="K586" s="448"/>
      <c r="L586" s="448"/>
      <c r="M586" s="448"/>
      <c r="N586" s="448"/>
      <c r="O586" s="448"/>
      <c r="P586" s="448"/>
      <c r="Q586" s="448"/>
      <c r="R586" s="448"/>
      <c r="S586" s="448"/>
    </row>
    <row r="587" spans="1:19" x14ac:dyDescent="0.15">
      <c r="A587" s="448"/>
      <c r="B587" s="448"/>
      <c r="C587" s="448"/>
      <c r="D587" s="448"/>
      <c r="E587" s="448"/>
      <c r="F587" s="448"/>
      <c r="G587" s="448"/>
      <c r="H587" s="448"/>
      <c r="I587" s="448"/>
      <c r="J587" s="448"/>
      <c r="K587" s="448"/>
      <c r="L587" s="448"/>
      <c r="M587" s="448"/>
      <c r="N587" s="448"/>
      <c r="O587" s="448"/>
      <c r="P587" s="448"/>
      <c r="Q587" s="448"/>
      <c r="R587" s="448"/>
      <c r="S587" s="448"/>
    </row>
    <row r="588" spans="1:19" x14ac:dyDescent="0.15">
      <c r="A588" s="448"/>
      <c r="B588" s="448"/>
      <c r="C588" s="448"/>
      <c r="D588" s="448"/>
      <c r="E588" s="448"/>
      <c r="F588" s="448"/>
      <c r="G588" s="448"/>
      <c r="H588" s="448"/>
      <c r="I588" s="448"/>
      <c r="J588" s="448"/>
      <c r="K588" s="448"/>
      <c r="L588" s="448"/>
      <c r="M588" s="448"/>
      <c r="N588" s="448"/>
      <c r="O588" s="448"/>
      <c r="P588" s="448"/>
      <c r="Q588" s="448"/>
      <c r="R588" s="448"/>
      <c r="S588" s="448"/>
    </row>
    <row r="589" spans="1:19" x14ac:dyDescent="0.15">
      <c r="A589" s="448"/>
      <c r="B589" s="448"/>
      <c r="C589" s="448"/>
      <c r="D589" s="448"/>
      <c r="E589" s="448"/>
      <c r="F589" s="448"/>
      <c r="G589" s="448"/>
      <c r="H589" s="448"/>
      <c r="I589" s="448"/>
      <c r="J589" s="448"/>
      <c r="K589" s="448"/>
      <c r="L589" s="448"/>
      <c r="M589" s="448"/>
      <c r="N589" s="448"/>
      <c r="O589" s="448"/>
      <c r="P589" s="448"/>
      <c r="Q589" s="448"/>
      <c r="R589" s="448"/>
      <c r="S589" s="448"/>
    </row>
    <row r="590" spans="1:19" x14ac:dyDescent="0.15">
      <c r="A590" s="448"/>
      <c r="B590" s="448"/>
      <c r="C590" s="448"/>
      <c r="D590" s="448"/>
      <c r="E590" s="448"/>
      <c r="F590" s="448"/>
      <c r="G590" s="448"/>
      <c r="H590" s="448"/>
      <c r="I590" s="448"/>
      <c r="J590" s="448"/>
      <c r="K590" s="448"/>
      <c r="L590" s="448"/>
      <c r="M590" s="448"/>
      <c r="N590" s="448"/>
      <c r="O590" s="448"/>
      <c r="P590" s="448"/>
      <c r="Q590" s="448"/>
      <c r="R590" s="448"/>
      <c r="S590" s="448"/>
    </row>
    <row r="591" spans="1:19" x14ac:dyDescent="0.15">
      <c r="A591" s="448"/>
      <c r="B591" s="448"/>
      <c r="C591" s="448"/>
      <c r="D591" s="448"/>
      <c r="E591" s="448"/>
      <c r="F591" s="448"/>
      <c r="G591" s="448"/>
      <c r="H591" s="448"/>
      <c r="I591" s="448"/>
      <c r="J591" s="448"/>
      <c r="K591" s="448"/>
      <c r="L591" s="448"/>
      <c r="M591" s="448"/>
      <c r="N591" s="448"/>
      <c r="O591" s="448"/>
      <c r="P591" s="448"/>
      <c r="Q591" s="448"/>
      <c r="R591" s="448"/>
      <c r="S591" s="448"/>
    </row>
    <row r="592" spans="1:19" x14ac:dyDescent="0.15">
      <c r="A592" s="448"/>
      <c r="B592" s="448"/>
      <c r="C592" s="448"/>
      <c r="D592" s="448"/>
      <c r="E592" s="448"/>
      <c r="F592" s="448"/>
      <c r="G592" s="448"/>
      <c r="H592" s="448"/>
      <c r="I592" s="448"/>
      <c r="J592" s="448"/>
      <c r="K592" s="448"/>
      <c r="L592" s="448"/>
      <c r="M592" s="448"/>
      <c r="N592" s="448"/>
      <c r="O592" s="448"/>
      <c r="P592" s="448"/>
      <c r="Q592" s="448"/>
      <c r="R592" s="448"/>
      <c r="S592" s="448"/>
    </row>
    <row r="593" spans="1:19" x14ac:dyDescent="0.15">
      <c r="A593" s="448"/>
      <c r="B593" s="448"/>
      <c r="C593" s="448"/>
      <c r="D593" s="448"/>
      <c r="E593" s="448"/>
      <c r="F593" s="448"/>
      <c r="G593" s="448"/>
      <c r="H593" s="448"/>
      <c r="I593" s="448"/>
      <c r="J593" s="448"/>
      <c r="K593" s="448"/>
      <c r="L593" s="448"/>
      <c r="M593" s="448"/>
      <c r="N593" s="448"/>
      <c r="O593" s="448"/>
      <c r="P593" s="448"/>
      <c r="Q593" s="448"/>
      <c r="R593" s="448"/>
      <c r="S593" s="448"/>
    </row>
    <row r="594" spans="1:19" x14ac:dyDescent="0.15">
      <c r="A594" s="448"/>
      <c r="B594" s="448"/>
      <c r="C594" s="448"/>
      <c r="D594" s="448"/>
      <c r="E594" s="448"/>
      <c r="F594" s="448"/>
      <c r="G594" s="448"/>
      <c r="H594" s="448"/>
      <c r="I594" s="448"/>
      <c r="J594" s="448"/>
      <c r="K594" s="448"/>
      <c r="L594" s="448"/>
      <c r="M594" s="448"/>
      <c r="N594" s="448"/>
      <c r="O594" s="448"/>
      <c r="P594" s="448"/>
      <c r="Q594" s="448"/>
      <c r="R594" s="448"/>
      <c r="S594" s="448"/>
    </row>
    <row r="595" spans="1:19" x14ac:dyDescent="0.15">
      <c r="A595" s="448"/>
      <c r="B595" s="448"/>
      <c r="C595" s="448"/>
      <c r="D595" s="448"/>
      <c r="E595" s="448"/>
      <c r="F595" s="448"/>
      <c r="G595" s="448"/>
      <c r="H595" s="448"/>
      <c r="I595" s="448"/>
      <c r="J595" s="448"/>
      <c r="K595" s="448"/>
      <c r="L595" s="448"/>
      <c r="M595" s="448"/>
      <c r="N595" s="448"/>
      <c r="O595" s="448"/>
      <c r="P595" s="448"/>
      <c r="Q595" s="448"/>
      <c r="R595" s="448"/>
      <c r="S595" s="448"/>
    </row>
    <row r="596" spans="1:19" x14ac:dyDescent="0.15">
      <c r="A596" s="448"/>
      <c r="B596" s="448"/>
      <c r="C596" s="448"/>
      <c r="D596" s="448"/>
      <c r="E596" s="448"/>
      <c r="F596" s="448"/>
      <c r="G596" s="448"/>
      <c r="H596" s="448"/>
      <c r="I596" s="448"/>
      <c r="J596" s="448"/>
      <c r="K596" s="448"/>
      <c r="L596" s="448"/>
      <c r="M596" s="448"/>
      <c r="N596" s="448"/>
      <c r="O596" s="448"/>
      <c r="P596" s="448"/>
      <c r="Q596" s="448"/>
      <c r="R596" s="448"/>
      <c r="S596" s="448"/>
    </row>
    <row r="597" spans="1:19" x14ac:dyDescent="0.15">
      <c r="A597" s="448"/>
      <c r="B597" s="448"/>
      <c r="C597" s="448"/>
      <c r="D597" s="448"/>
      <c r="E597" s="448"/>
      <c r="F597" s="448"/>
      <c r="G597" s="448"/>
      <c r="H597" s="448"/>
      <c r="I597" s="448"/>
      <c r="J597" s="448"/>
      <c r="K597" s="448"/>
      <c r="L597" s="448"/>
      <c r="M597" s="448"/>
      <c r="N597" s="448"/>
      <c r="O597" s="448"/>
      <c r="P597" s="448"/>
      <c r="Q597" s="448"/>
      <c r="R597" s="448"/>
      <c r="S597" s="448"/>
    </row>
    <row r="598" spans="1:19" x14ac:dyDescent="0.15">
      <c r="A598" s="448"/>
      <c r="B598" s="448"/>
      <c r="C598" s="448"/>
      <c r="D598" s="448"/>
      <c r="E598" s="448"/>
      <c r="F598" s="448"/>
      <c r="G598" s="448"/>
      <c r="H598" s="448"/>
      <c r="I598" s="448"/>
      <c r="J598" s="448"/>
      <c r="K598" s="448"/>
      <c r="L598" s="448"/>
      <c r="M598" s="448"/>
      <c r="N598" s="448"/>
      <c r="O598" s="448"/>
      <c r="P598" s="448"/>
      <c r="Q598" s="448"/>
      <c r="R598" s="448"/>
      <c r="S598" s="448"/>
    </row>
    <row r="599" spans="1:19" x14ac:dyDescent="0.15">
      <c r="A599" s="448"/>
      <c r="B599" s="448"/>
      <c r="C599" s="448"/>
      <c r="D599" s="448"/>
      <c r="E599" s="448"/>
      <c r="F599" s="448"/>
      <c r="G599" s="448"/>
      <c r="H599" s="448"/>
      <c r="I599" s="448"/>
      <c r="J599" s="448"/>
      <c r="K599" s="448"/>
      <c r="L599" s="448"/>
      <c r="M599" s="448"/>
      <c r="N599" s="448"/>
      <c r="O599" s="448"/>
      <c r="P599" s="448"/>
      <c r="Q599" s="448"/>
      <c r="R599" s="448"/>
      <c r="S599" s="448"/>
    </row>
    <row r="600" spans="1:19" x14ac:dyDescent="0.15">
      <c r="A600" s="448"/>
      <c r="B600" s="448"/>
      <c r="C600" s="448"/>
      <c r="D600" s="448"/>
      <c r="E600" s="448"/>
      <c r="F600" s="448"/>
      <c r="G600" s="448"/>
      <c r="H600" s="448"/>
      <c r="I600" s="448"/>
      <c r="J600" s="448"/>
      <c r="K600" s="448"/>
      <c r="L600" s="448"/>
      <c r="M600" s="448"/>
      <c r="N600" s="448"/>
      <c r="O600" s="448"/>
      <c r="P600" s="448"/>
      <c r="Q600" s="448"/>
      <c r="R600" s="448"/>
      <c r="S600" s="448"/>
    </row>
    <row r="601" spans="1:19" x14ac:dyDescent="0.15">
      <c r="A601" s="448"/>
      <c r="B601" s="448"/>
      <c r="C601" s="448"/>
      <c r="D601" s="448"/>
      <c r="E601" s="448"/>
      <c r="F601" s="448"/>
      <c r="G601" s="448"/>
      <c r="H601" s="448"/>
      <c r="I601" s="448"/>
      <c r="J601" s="448"/>
      <c r="K601" s="448"/>
      <c r="L601" s="448"/>
      <c r="M601" s="448"/>
      <c r="N601" s="448"/>
      <c r="O601" s="448"/>
      <c r="P601" s="448"/>
      <c r="Q601" s="448"/>
      <c r="R601" s="448"/>
      <c r="S601" s="448"/>
    </row>
    <row r="602" spans="1:19" x14ac:dyDescent="0.15">
      <c r="A602" s="448"/>
      <c r="B602" s="448"/>
      <c r="C602" s="448"/>
      <c r="D602" s="448"/>
      <c r="E602" s="448"/>
      <c r="F602" s="448"/>
      <c r="G602" s="448"/>
      <c r="H602" s="448"/>
      <c r="I602" s="448"/>
      <c r="J602" s="448"/>
      <c r="K602" s="448"/>
      <c r="L602" s="448"/>
      <c r="M602" s="448"/>
      <c r="N602" s="448"/>
      <c r="O602" s="448"/>
      <c r="P602" s="448"/>
      <c r="Q602" s="448"/>
      <c r="R602" s="448"/>
      <c r="S602" s="448"/>
    </row>
    <row r="603" spans="1:19" x14ac:dyDescent="0.15">
      <c r="A603" s="448"/>
      <c r="B603" s="448"/>
      <c r="C603" s="448"/>
      <c r="D603" s="448"/>
      <c r="E603" s="448"/>
      <c r="F603" s="448"/>
      <c r="G603" s="448"/>
      <c r="H603" s="448"/>
      <c r="I603" s="448"/>
      <c r="J603" s="448"/>
      <c r="K603" s="448"/>
      <c r="L603" s="448"/>
      <c r="M603" s="448"/>
      <c r="N603" s="448"/>
      <c r="O603" s="448"/>
      <c r="P603" s="448"/>
      <c r="Q603" s="448"/>
      <c r="R603" s="448"/>
      <c r="S603" s="448"/>
    </row>
    <row r="604" spans="1:19" x14ac:dyDescent="0.15">
      <c r="A604" s="448"/>
      <c r="B604" s="448"/>
      <c r="C604" s="448"/>
      <c r="D604" s="448"/>
      <c r="E604" s="448"/>
      <c r="F604" s="448"/>
      <c r="G604" s="448"/>
      <c r="H604" s="448"/>
      <c r="I604" s="448"/>
      <c r="J604" s="448"/>
      <c r="K604" s="448"/>
      <c r="L604" s="448"/>
      <c r="M604" s="448"/>
      <c r="N604" s="448"/>
      <c r="O604" s="448"/>
      <c r="P604" s="448"/>
      <c r="Q604" s="448"/>
      <c r="R604" s="448"/>
      <c r="S604" s="448"/>
    </row>
    <row r="605" spans="1:19" x14ac:dyDescent="0.15">
      <c r="A605" s="448"/>
      <c r="B605" s="448"/>
      <c r="C605" s="448"/>
      <c r="D605" s="448"/>
      <c r="E605" s="448"/>
      <c r="F605" s="448"/>
      <c r="G605" s="448"/>
      <c r="H605" s="448"/>
      <c r="I605" s="448"/>
      <c r="J605" s="448"/>
      <c r="K605" s="448"/>
      <c r="L605" s="448"/>
      <c r="M605" s="448"/>
      <c r="N605" s="448"/>
      <c r="O605" s="448"/>
      <c r="P605" s="448"/>
      <c r="Q605" s="448"/>
      <c r="R605" s="448"/>
      <c r="S605" s="448"/>
    </row>
    <row r="606" spans="1:19" x14ac:dyDescent="0.15">
      <c r="A606" s="448"/>
      <c r="B606" s="448"/>
      <c r="C606" s="448"/>
      <c r="D606" s="448"/>
      <c r="E606" s="448"/>
      <c r="F606" s="448"/>
      <c r="G606" s="448"/>
      <c r="H606" s="448"/>
      <c r="I606" s="448"/>
      <c r="J606" s="448"/>
      <c r="K606" s="448"/>
      <c r="L606" s="448"/>
      <c r="M606" s="448"/>
      <c r="N606" s="448"/>
      <c r="O606" s="448"/>
      <c r="P606" s="448"/>
      <c r="Q606" s="448"/>
      <c r="R606" s="448"/>
      <c r="S606" s="448"/>
    </row>
    <row r="607" spans="1:19" x14ac:dyDescent="0.15">
      <c r="A607" s="448"/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</row>
    <row r="608" spans="1:19" x14ac:dyDescent="0.15">
      <c r="A608" s="448"/>
      <c r="B608" s="448"/>
      <c r="C608" s="448"/>
      <c r="D608" s="448"/>
      <c r="E608" s="448"/>
      <c r="F608" s="448"/>
      <c r="G608" s="448"/>
      <c r="H608" s="448"/>
      <c r="I608" s="448"/>
      <c r="J608" s="448"/>
      <c r="K608" s="448"/>
      <c r="L608" s="448"/>
      <c r="M608" s="448"/>
      <c r="N608" s="448"/>
      <c r="O608" s="448"/>
      <c r="P608" s="448"/>
      <c r="Q608" s="448"/>
      <c r="R608" s="448"/>
      <c r="S608" s="448"/>
    </row>
    <row r="609" spans="1:19" x14ac:dyDescent="0.15">
      <c r="A609" s="448"/>
      <c r="B609" s="448"/>
      <c r="C609" s="448"/>
      <c r="D609" s="448"/>
      <c r="E609" s="448"/>
      <c r="F609" s="448"/>
      <c r="G609" s="448"/>
      <c r="H609" s="448"/>
      <c r="I609" s="448"/>
      <c r="J609" s="448"/>
      <c r="K609" s="448"/>
      <c r="L609" s="448"/>
      <c r="M609" s="448"/>
      <c r="N609" s="448"/>
      <c r="O609" s="448"/>
      <c r="P609" s="448"/>
      <c r="Q609" s="448"/>
      <c r="R609" s="448"/>
      <c r="S609" s="448"/>
    </row>
    <row r="610" spans="1:19" x14ac:dyDescent="0.15">
      <c r="A610" s="448"/>
      <c r="B610" s="448"/>
      <c r="C610" s="448"/>
      <c r="D610" s="448"/>
      <c r="E610" s="448"/>
      <c r="F610" s="448"/>
      <c r="G610" s="448"/>
      <c r="H610" s="448"/>
      <c r="I610" s="448"/>
      <c r="J610" s="448"/>
      <c r="K610" s="448"/>
      <c r="L610" s="448"/>
      <c r="M610" s="448"/>
      <c r="N610" s="448"/>
      <c r="O610" s="448"/>
      <c r="P610" s="448"/>
      <c r="Q610" s="448"/>
      <c r="R610" s="448"/>
      <c r="S610" s="448"/>
    </row>
    <row r="611" spans="1:19" x14ac:dyDescent="0.15">
      <c r="A611" s="448"/>
      <c r="B611" s="448"/>
      <c r="C611" s="448"/>
      <c r="D611" s="448"/>
      <c r="E611" s="448"/>
      <c r="F611" s="448"/>
      <c r="G611" s="448"/>
      <c r="H611" s="448"/>
      <c r="I611" s="448"/>
      <c r="J611" s="448"/>
      <c r="K611" s="448"/>
      <c r="L611" s="448"/>
      <c r="M611" s="448"/>
      <c r="N611" s="448"/>
      <c r="O611" s="448"/>
      <c r="P611" s="448"/>
      <c r="Q611" s="448"/>
      <c r="R611" s="448"/>
      <c r="S611" s="448"/>
    </row>
    <row r="612" spans="1:19" x14ac:dyDescent="0.15">
      <c r="A612" s="448"/>
      <c r="B612" s="448"/>
      <c r="C612" s="448"/>
      <c r="D612" s="448"/>
      <c r="E612" s="448"/>
      <c r="F612" s="448"/>
      <c r="G612" s="448"/>
      <c r="H612" s="448"/>
      <c r="I612" s="448"/>
      <c r="J612" s="448"/>
      <c r="K612" s="448"/>
      <c r="L612" s="448"/>
      <c r="M612" s="448"/>
      <c r="N612" s="448"/>
      <c r="O612" s="448"/>
      <c r="P612" s="448"/>
      <c r="Q612" s="448"/>
      <c r="R612" s="448"/>
      <c r="S612" s="448"/>
    </row>
    <row r="613" spans="1:19" x14ac:dyDescent="0.15">
      <c r="A613" s="448"/>
      <c r="B613" s="448"/>
      <c r="C613" s="448"/>
      <c r="D613" s="448"/>
      <c r="E613" s="448"/>
      <c r="F613" s="448"/>
      <c r="G613" s="448"/>
      <c r="H613" s="448"/>
      <c r="I613" s="448"/>
      <c r="J613" s="448"/>
      <c r="K613" s="448"/>
      <c r="L613" s="448"/>
      <c r="M613" s="448"/>
      <c r="N613" s="448"/>
      <c r="O613" s="448"/>
      <c r="P613" s="448"/>
      <c r="Q613" s="448"/>
      <c r="R613" s="448"/>
      <c r="S613" s="448"/>
    </row>
    <row r="614" spans="1:19" x14ac:dyDescent="0.15">
      <c r="A614" s="448"/>
      <c r="B614" s="448"/>
      <c r="C614" s="448"/>
      <c r="D614" s="448"/>
      <c r="E614" s="448"/>
      <c r="F614" s="448"/>
      <c r="G614" s="448"/>
      <c r="H614" s="448"/>
      <c r="I614" s="448"/>
      <c r="J614" s="448"/>
      <c r="K614" s="448"/>
      <c r="L614" s="448"/>
      <c r="M614" s="448"/>
      <c r="N614" s="448"/>
      <c r="O614" s="448"/>
      <c r="P614" s="448"/>
      <c r="Q614" s="448"/>
      <c r="R614" s="448"/>
      <c r="S614" s="448"/>
    </row>
    <row r="615" spans="1:19" x14ac:dyDescent="0.15">
      <c r="A615" s="448"/>
      <c r="B615" s="448"/>
      <c r="C615" s="448"/>
      <c r="D615" s="448"/>
      <c r="E615" s="448"/>
      <c r="F615" s="448"/>
      <c r="G615" s="448"/>
      <c r="H615" s="448"/>
      <c r="I615" s="448"/>
      <c r="J615" s="448"/>
      <c r="K615" s="448"/>
      <c r="L615" s="448"/>
      <c r="M615" s="448"/>
      <c r="N615" s="448"/>
      <c r="O615" s="448"/>
      <c r="P615" s="448"/>
      <c r="Q615" s="448"/>
      <c r="R615" s="448"/>
      <c r="S615" s="448"/>
    </row>
    <row r="616" spans="1:19" x14ac:dyDescent="0.15">
      <c r="A616" s="448"/>
      <c r="B616" s="448"/>
      <c r="C616" s="448"/>
      <c r="D616" s="448"/>
      <c r="E616" s="448"/>
      <c r="F616" s="448"/>
      <c r="G616" s="448"/>
      <c r="H616" s="448"/>
      <c r="I616" s="448"/>
      <c r="J616" s="448"/>
      <c r="K616" s="448"/>
      <c r="L616" s="448"/>
      <c r="M616" s="448"/>
      <c r="N616" s="448"/>
      <c r="O616" s="448"/>
      <c r="P616" s="448"/>
      <c r="Q616" s="448"/>
      <c r="R616" s="448"/>
      <c r="S616" s="448"/>
    </row>
    <row r="617" spans="1:19" x14ac:dyDescent="0.15">
      <c r="A617" s="448"/>
      <c r="B617" s="448"/>
      <c r="C617" s="448"/>
      <c r="D617" s="448"/>
      <c r="E617" s="448"/>
      <c r="F617" s="448"/>
      <c r="G617" s="448"/>
      <c r="H617" s="448"/>
      <c r="I617" s="448"/>
      <c r="J617" s="448"/>
      <c r="K617" s="448"/>
      <c r="L617" s="448"/>
      <c r="M617" s="448"/>
      <c r="N617" s="448"/>
      <c r="O617" s="448"/>
      <c r="P617" s="448"/>
      <c r="Q617" s="448"/>
      <c r="R617" s="448"/>
      <c r="S617" s="448"/>
    </row>
    <row r="618" spans="1:19" x14ac:dyDescent="0.15">
      <c r="A618" s="448"/>
      <c r="B618" s="448"/>
      <c r="C618" s="448"/>
      <c r="D618" s="448"/>
      <c r="E618" s="448"/>
      <c r="F618" s="448"/>
      <c r="G618" s="448"/>
      <c r="H618" s="448"/>
      <c r="I618" s="448"/>
      <c r="J618" s="448"/>
      <c r="K618" s="448"/>
      <c r="L618" s="448"/>
      <c r="M618" s="448"/>
      <c r="N618" s="448"/>
      <c r="O618" s="448"/>
      <c r="P618" s="448"/>
      <c r="Q618" s="448"/>
      <c r="R618" s="448"/>
      <c r="S618" s="448"/>
    </row>
    <row r="619" spans="1:19" x14ac:dyDescent="0.15">
      <c r="A619" s="448"/>
      <c r="B619" s="448"/>
      <c r="C619" s="448"/>
      <c r="D619" s="448"/>
      <c r="E619" s="448"/>
      <c r="F619" s="448"/>
      <c r="G619" s="448"/>
      <c r="H619" s="448"/>
      <c r="I619" s="448"/>
      <c r="J619" s="448"/>
      <c r="K619" s="448"/>
      <c r="L619" s="448"/>
      <c r="M619" s="448"/>
      <c r="N619" s="448"/>
      <c r="O619" s="448"/>
      <c r="P619" s="448"/>
      <c r="Q619" s="448"/>
      <c r="R619" s="448"/>
      <c r="S619" s="448"/>
    </row>
    <row r="620" spans="1:19" x14ac:dyDescent="0.15">
      <c r="A620" s="448"/>
      <c r="B620" s="448"/>
      <c r="C620" s="448"/>
      <c r="D620" s="448"/>
      <c r="E620" s="448"/>
      <c r="F620" s="448"/>
      <c r="G620" s="448"/>
      <c r="H620" s="448"/>
      <c r="I620" s="448"/>
      <c r="J620" s="448"/>
      <c r="K620" s="448"/>
      <c r="L620" s="448"/>
      <c r="M620" s="448"/>
      <c r="N620" s="448"/>
      <c r="O620" s="448"/>
      <c r="P620" s="448"/>
      <c r="Q620" s="448"/>
      <c r="R620" s="448"/>
      <c r="S620" s="448"/>
    </row>
    <row r="621" spans="1:19" x14ac:dyDescent="0.15">
      <c r="A621" s="448"/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</row>
    <row r="622" spans="1:19" x14ac:dyDescent="0.15">
      <c r="A622" s="448"/>
      <c r="B622" s="448"/>
      <c r="C622" s="448"/>
      <c r="D622" s="448"/>
      <c r="E622" s="448"/>
      <c r="F622" s="448"/>
      <c r="G622" s="448"/>
      <c r="H622" s="448"/>
      <c r="I622" s="448"/>
      <c r="J622" s="448"/>
      <c r="K622" s="448"/>
      <c r="L622" s="448"/>
      <c r="M622" s="448"/>
      <c r="N622" s="448"/>
      <c r="O622" s="448"/>
      <c r="P622" s="448"/>
      <c r="Q622" s="448"/>
      <c r="R622" s="448"/>
      <c r="S622" s="448"/>
    </row>
    <row r="623" spans="1:19" x14ac:dyDescent="0.15">
      <c r="A623" s="448"/>
      <c r="B623" s="448"/>
      <c r="C623" s="448"/>
      <c r="D623" s="448"/>
      <c r="E623" s="448"/>
      <c r="F623" s="448"/>
      <c r="G623" s="448"/>
      <c r="H623" s="448"/>
      <c r="I623" s="448"/>
      <c r="J623" s="448"/>
      <c r="K623" s="448"/>
      <c r="L623" s="448"/>
      <c r="M623" s="448"/>
      <c r="N623" s="448"/>
      <c r="O623" s="448"/>
      <c r="P623" s="448"/>
      <c r="Q623" s="448"/>
      <c r="R623" s="448"/>
      <c r="S623" s="448"/>
    </row>
    <row r="624" spans="1:19" x14ac:dyDescent="0.15">
      <c r="A624" s="448"/>
      <c r="B624" s="448"/>
      <c r="C624" s="448"/>
      <c r="D624" s="448"/>
      <c r="E624" s="448"/>
      <c r="F624" s="448"/>
      <c r="G624" s="448"/>
      <c r="H624" s="448"/>
      <c r="I624" s="448"/>
      <c r="J624" s="448"/>
      <c r="K624" s="448"/>
      <c r="L624" s="448"/>
      <c r="M624" s="448"/>
      <c r="N624" s="448"/>
      <c r="O624" s="448"/>
      <c r="P624" s="448"/>
      <c r="Q624" s="448"/>
      <c r="R624" s="448"/>
      <c r="S624" s="448"/>
    </row>
    <row r="625" spans="1:19" x14ac:dyDescent="0.15">
      <c r="A625" s="448"/>
      <c r="B625" s="448"/>
      <c r="C625" s="448"/>
      <c r="D625" s="448"/>
      <c r="E625" s="448"/>
      <c r="F625" s="448"/>
      <c r="G625" s="448"/>
      <c r="H625" s="448"/>
      <c r="I625" s="448"/>
      <c r="J625" s="448"/>
      <c r="K625" s="448"/>
      <c r="L625" s="448"/>
      <c r="M625" s="448"/>
      <c r="N625" s="448"/>
      <c r="O625" s="448"/>
      <c r="P625" s="448"/>
      <c r="Q625" s="448"/>
      <c r="R625" s="448"/>
      <c r="S625" s="448"/>
    </row>
    <row r="626" spans="1:19" x14ac:dyDescent="0.15">
      <c r="A626" s="448"/>
      <c r="B626" s="448"/>
      <c r="C626" s="448"/>
      <c r="D626" s="448"/>
      <c r="E626" s="448"/>
      <c r="F626" s="448"/>
      <c r="G626" s="448"/>
      <c r="H626" s="448"/>
      <c r="I626" s="448"/>
      <c r="J626" s="448"/>
      <c r="K626" s="448"/>
      <c r="L626" s="448"/>
      <c r="M626" s="448"/>
      <c r="N626" s="448"/>
      <c r="O626" s="448"/>
      <c r="P626" s="448"/>
      <c r="Q626" s="448"/>
      <c r="R626" s="448"/>
      <c r="S626" s="448"/>
    </row>
    <row r="627" spans="1:19" x14ac:dyDescent="0.15">
      <c r="A627" s="448"/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</row>
    <row r="628" spans="1:19" x14ac:dyDescent="0.15">
      <c r="A628" s="448"/>
      <c r="B628" s="448"/>
      <c r="C628" s="448"/>
      <c r="D628" s="448"/>
      <c r="E628" s="448"/>
      <c r="F628" s="448"/>
      <c r="G628" s="448"/>
      <c r="H628" s="448"/>
      <c r="I628" s="448"/>
      <c r="J628" s="448"/>
      <c r="K628" s="448"/>
      <c r="L628" s="448"/>
      <c r="M628" s="448"/>
      <c r="N628" s="448"/>
      <c r="O628" s="448"/>
      <c r="P628" s="448"/>
      <c r="Q628" s="448"/>
      <c r="R628" s="448"/>
      <c r="S628" s="448"/>
    </row>
    <row r="629" spans="1:19" x14ac:dyDescent="0.15">
      <c r="A629" s="448"/>
      <c r="B629" s="448"/>
      <c r="C629" s="448"/>
      <c r="D629" s="448"/>
      <c r="E629" s="448"/>
      <c r="F629" s="448"/>
      <c r="G629" s="448"/>
      <c r="H629" s="448"/>
      <c r="I629" s="448"/>
      <c r="J629" s="448"/>
      <c r="K629" s="448"/>
      <c r="L629" s="448"/>
      <c r="M629" s="448"/>
      <c r="N629" s="448"/>
      <c r="O629" s="448"/>
      <c r="P629" s="448"/>
      <c r="Q629" s="448"/>
      <c r="R629" s="448"/>
      <c r="S629" s="448"/>
    </row>
    <row r="630" spans="1:19" x14ac:dyDescent="0.15">
      <c r="A630" s="448"/>
      <c r="B630" s="448"/>
      <c r="C630" s="448"/>
      <c r="D630" s="448"/>
      <c r="E630" s="448"/>
      <c r="F630" s="448"/>
      <c r="G630" s="448"/>
      <c r="H630" s="448"/>
      <c r="I630" s="448"/>
      <c r="J630" s="448"/>
      <c r="K630" s="448"/>
      <c r="L630" s="448"/>
      <c r="M630" s="448"/>
      <c r="N630" s="448"/>
      <c r="O630" s="448"/>
      <c r="P630" s="448"/>
      <c r="Q630" s="448"/>
      <c r="R630" s="448"/>
      <c r="S630" s="448"/>
    </row>
    <row r="631" spans="1:19" x14ac:dyDescent="0.15">
      <c r="A631" s="448"/>
      <c r="B631" s="448"/>
      <c r="C631" s="448"/>
      <c r="D631" s="448"/>
      <c r="E631" s="448"/>
      <c r="F631" s="448"/>
      <c r="G631" s="448"/>
      <c r="H631" s="448"/>
      <c r="I631" s="448"/>
      <c r="J631" s="448"/>
      <c r="K631" s="448"/>
      <c r="L631" s="448"/>
      <c r="M631" s="448"/>
      <c r="N631" s="448"/>
      <c r="O631" s="448"/>
      <c r="P631" s="448"/>
      <c r="Q631" s="448"/>
      <c r="R631" s="448"/>
      <c r="S631" s="448"/>
    </row>
    <row r="632" spans="1:19" x14ac:dyDescent="0.15">
      <c r="A632" s="448"/>
      <c r="B632" s="448"/>
      <c r="C632" s="448"/>
      <c r="D632" s="448"/>
      <c r="E632" s="448"/>
      <c r="F632" s="448"/>
      <c r="G632" s="448"/>
      <c r="H632" s="448"/>
      <c r="I632" s="448"/>
      <c r="J632" s="448"/>
      <c r="K632" s="448"/>
      <c r="L632" s="448"/>
      <c r="M632" s="448"/>
      <c r="N632" s="448"/>
      <c r="O632" s="448"/>
      <c r="P632" s="448"/>
      <c r="Q632" s="448"/>
      <c r="R632" s="448"/>
      <c r="S632" s="448"/>
    </row>
    <row r="633" spans="1:19" x14ac:dyDescent="0.15">
      <c r="A633" s="448"/>
      <c r="B633" s="448"/>
      <c r="C633" s="448"/>
      <c r="D633" s="448"/>
      <c r="E633" s="448"/>
      <c r="F633" s="448"/>
      <c r="G633" s="448"/>
      <c r="H633" s="448"/>
      <c r="I633" s="448"/>
      <c r="J633" s="448"/>
      <c r="K633" s="448"/>
      <c r="L633" s="448"/>
      <c r="M633" s="448"/>
      <c r="N633" s="448"/>
      <c r="O633" s="448"/>
      <c r="P633" s="448"/>
      <c r="Q633" s="448"/>
      <c r="R633" s="448"/>
      <c r="S633" s="448"/>
    </row>
    <row r="634" spans="1:19" x14ac:dyDescent="0.15">
      <c r="A634" s="448"/>
      <c r="B634" s="448"/>
      <c r="C634" s="448"/>
      <c r="D634" s="448"/>
      <c r="E634" s="448"/>
      <c r="F634" s="448"/>
      <c r="G634" s="448"/>
      <c r="H634" s="448"/>
      <c r="I634" s="448"/>
      <c r="J634" s="448"/>
      <c r="K634" s="448"/>
      <c r="L634" s="448"/>
      <c r="M634" s="448"/>
      <c r="N634" s="448"/>
      <c r="O634" s="448"/>
      <c r="P634" s="448"/>
      <c r="Q634" s="448"/>
      <c r="R634" s="448"/>
      <c r="S634" s="448"/>
    </row>
    <row r="635" spans="1:19" x14ac:dyDescent="0.15">
      <c r="A635" s="448"/>
      <c r="B635" s="448"/>
      <c r="C635" s="448"/>
      <c r="D635" s="448"/>
      <c r="E635" s="448"/>
      <c r="F635" s="448"/>
      <c r="G635" s="448"/>
      <c r="H635" s="448"/>
      <c r="I635" s="448"/>
      <c r="J635" s="448"/>
      <c r="K635" s="448"/>
      <c r="L635" s="448"/>
      <c r="M635" s="448"/>
      <c r="N635" s="448"/>
      <c r="O635" s="448"/>
      <c r="P635" s="448"/>
      <c r="Q635" s="448"/>
      <c r="R635" s="448"/>
      <c r="S635" s="448"/>
    </row>
    <row r="636" spans="1:19" x14ac:dyDescent="0.15">
      <c r="A636" s="448"/>
      <c r="B636" s="448"/>
      <c r="C636" s="448"/>
      <c r="D636" s="448"/>
      <c r="E636" s="448"/>
      <c r="F636" s="448"/>
      <c r="G636" s="448"/>
      <c r="H636" s="448"/>
      <c r="I636" s="448"/>
      <c r="J636" s="448"/>
      <c r="K636" s="448"/>
      <c r="L636" s="448"/>
      <c r="M636" s="448"/>
      <c r="N636" s="448"/>
      <c r="O636" s="448"/>
      <c r="P636" s="448"/>
      <c r="Q636" s="448"/>
      <c r="R636" s="448"/>
      <c r="S636" s="448"/>
    </row>
    <row r="637" spans="1:19" x14ac:dyDescent="0.15">
      <c r="A637" s="448"/>
      <c r="B637" s="448"/>
      <c r="C637" s="448"/>
      <c r="D637" s="448"/>
      <c r="E637" s="448"/>
      <c r="F637" s="448"/>
      <c r="G637" s="448"/>
      <c r="H637" s="448"/>
      <c r="I637" s="448"/>
      <c r="J637" s="448"/>
      <c r="K637" s="448"/>
      <c r="L637" s="448"/>
      <c r="M637" s="448"/>
      <c r="N637" s="448"/>
      <c r="O637" s="448"/>
      <c r="P637" s="448"/>
      <c r="Q637" s="448"/>
      <c r="R637" s="448"/>
      <c r="S637" s="448"/>
    </row>
    <row r="638" spans="1:19" x14ac:dyDescent="0.15">
      <c r="A638" s="448"/>
      <c r="B638" s="448"/>
      <c r="C638" s="448"/>
      <c r="D638" s="448"/>
      <c r="E638" s="448"/>
      <c r="F638" s="448"/>
      <c r="G638" s="448"/>
      <c r="H638" s="448"/>
      <c r="I638" s="448"/>
      <c r="J638" s="448"/>
      <c r="K638" s="448"/>
      <c r="L638" s="448"/>
      <c r="M638" s="448"/>
      <c r="N638" s="448"/>
      <c r="O638" s="448"/>
      <c r="P638" s="448"/>
      <c r="Q638" s="448"/>
      <c r="R638" s="448"/>
      <c r="S638" s="448"/>
    </row>
    <row r="639" spans="1:19" x14ac:dyDescent="0.15">
      <c r="A639" s="448"/>
      <c r="B639" s="448"/>
      <c r="C639" s="448"/>
      <c r="D639" s="448"/>
      <c r="E639" s="448"/>
      <c r="F639" s="448"/>
      <c r="G639" s="448"/>
      <c r="H639" s="448"/>
      <c r="I639" s="448"/>
      <c r="J639" s="448"/>
      <c r="K639" s="448"/>
      <c r="L639" s="448"/>
      <c r="M639" s="448"/>
      <c r="N639" s="448"/>
      <c r="O639" s="448"/>
      <c r="P639" s="448"/>
      <c r="Q639" s="448"/>
      <c r="R639" s="448"/>
      <c r="S639" s="448"/>
    </row>
    <row r="640" spans="1:19" x14ac:dyDescent="0.15">
      <c r="A640" s="448"/>
      <c r="B640" s="448"/>
      <c r="C640" s="448"/>
      <c r="D640" s="448"/>
      <c r="E640" s="448"/>
      <c r="F640" s="448"/>
      <c r="G640" s="448"/>
      <c r="H640" s="448"/>
      <c r="I640" s="448"/>
      <c r="J640" s="448"/>
      <c r="K640" s="448"/>
      <c r="L640" s="448"/>
      <c r="M640" s="448"/>
      <c r="N640" s="448"/>
      <c r="O640" s="448"/>
      <c r="P640" s="448"/>
      <c r="Q640" s="448"/>
      <c r="R640" s="448"/>
      <c r="S640" s="448"/>
    </row>
    <row r="641" spans="1:19" x14ac:dyDescent="0.15">
      <c r="A641" s="448"/>
      <c r="B641" s="448"/>
      <c r="C641" s="448"/>
      <c r="D641" s="448"/>
      <c r="E641" s="448"/>
      <c r="F641" s="448"/>
      <c r="G641" s="448"/>
      <c r="H641" s="448"/>
      <c r="I641" s="448"/>
      <c r="J641" s="448"/>
      <c r="K641" s="448"/>
      <c r="L641" s="448"/>
      <c r="M641" s="448"/>
      <c r="N641" s="448"/>
      <c r="O641" s="448"/>
      <c r="P641" s="448"/>
      <c r="Q641" s="448"/>
      <c r="R641" s="448"/>
      <c r="S641" s="448"/>
    </row>
    <row r="642" spans="1:19" x14ac:dyDescent="0.15">
      <c r="A642" s="448"/>
      <c r="B642" s="448"/>
      <c r="C642" s="448"/>
      <c r="D642" s="448"/>
      <c r="E642" s="448"/>
      <c r="F642" s="448"/>
      <c r="G642" s="448"/>
      <c r="H642" s="448"/>
      <c r="I642" s="448"/>
      <c r="J642" s="448"/>
      <c r="K642" s="448"/>
      <c r="L642" s="448"/>
      <c r="M642" s="448"/>
      <c r="N642" s="448"/>
      <c r="O642" s="448"/>
      <c r="P642" s="448"/>
      <c r="Q642" s="448"/>
      <c r="R642" s="448"/>
      <c r="S642" s="448"/>
    </row>
    <row r="643" spans="1:19" x14ac:dyDescent="0.15">
      <c r="A643" s="448"/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</row>
    <row r="644" spans="1:19" x14ac:dyDescent="0.15">
      <c r="A644" s="448"/>
      <c r="B644" s="448"/>
      <c r="C644" s="448"/>
      <c r="D644" s="448"/>
      <c r="E644" s="448"/>
      <c r="F644" s="448"/>
      <c r="G644" s="448"/>
      <c r="H644" s="448"/>
      <c r="I644" s="448"/>
      <c r="J644" s="448"/>
      <c r="K644" s="448"/>
      <c r="L644" s="448"/>
      <c r="M644" s="448"/>
      <c r="N644" s="448"/>
      <c r="O644" s="448"/>
      <c r="P644" s="448"/>
      <c r="Q644" s="448"/>
      <c r="R644" s="448"/>
      <c r="S644" s="448"/>
    </row>
    <row r="645" spans="1:19" x14ac:dyDescent="0.15">
      <c r="A645" s="448"/>
      <c r="B645" s="448"/>
      <c r="C645" s="448"/>
      <c r="D645" s="448"/>
      <c r="E645" s="448"/>
      <c r="F645" s="448"/>
      <c r="G645" s="448"/>
      <c r="H645" s="448"/>
      <c r="I645" s="448"/>
      <c r="J645" s="448"/>
      <c r="K645" s="448"/>
      <c r="L645" s="448"/>
      <c r="M645" s="448"/>
      <c r="N645" s="448"/>
      <c r="O645" s="448"/>
      <c r="P645" s="448"/>
      <c r="Q645" s="448"/>
      <c r="R645" s="448"/>
      <c r="S645" s="448"/>
    </row>
    <row r="646" spans="1:19" x14ac:dyDescent="0.15">
      <c r="A646" s="448"/>
      <c r="B646" s="448"/>
      <c r="C646" s="448"/>
      <c r="D646" s="448"/>
      <c r="E646" s="448"/>
      <c r="F646" s="448"/>
      <c r="G646" s="448"/>
      <c r="H646" s="448"/>
      <c r="I646" s="448"/>
      <c r="J646" s="448"/>
      <c r="K646" s="448"/>
      <c r="L646" s="448"/>
      <c r="M646" s="448"/>
      <c r="N646" s="448"/>
      <c r="O646" s="448"/>
      <c r="P646" s="448"/>
      <c r="Q646" s="448"/>
      <c r="R646" s="448"/>
      <c r="S646" s="448"/>
    </row>
    <row r="647" spans="1:19" x14ac:dyDescent="0.15">
      <c r="A647" s="448"/>
      <c r="B647" s="448"/>
      <c r="C647" s="448"/>
      <c r="D647" s="448"/>
      <c r="E647" s="448"/>
      <c r="F647" s="448"/>
      <c r="G647" s="448"/>
      <c r="H647" s="448"/>
      <c r="I647" s="448"/>
      <c r="J647" s="448"/>
      <c r="K647" s="448"/>
      <c r="L647" s="448"/>
      <c r="M647" s="448"/>
      <c r="N647" s="448"/>
      <c r="O647" s="448"/>
      <c r="P647" s="448"/>
      <c r="Q647" s="448"/>
      <c r="R647" s="448"/>
      <c r="S647" s="448"/>
    </row>
    <row r="648" spans="1:19" x14ac:dyDescent="0.15">
      <c r="A648" s="448"/>
      <c r="B648" s="448"/>
      <c r="C648" s="448"/>
      <c r="D648" s="448"/>
      <c r="E648" s="448"/>
      <c r="F648" s="448"/>
      <c r="G648" s="448"/>
      <c r="H648" s="448"/>
      <c r="I648" s="448"/>
      <c r="J648" s="448"/>
      <c r="K648" s="448"/>
      <c r="L648" s="448"/>
      <c r="M648" s="448"/>
      <c r="N648" s="448"/>
      <c r="O648" s="448"/>
      <c r="P648" s="448"/>
      <c r="Q648" s="448"/>
      <c r="R648" s="448"/>
      <c r="S648" s="448"/>
    </row>
    <row r="649" spans="1:19" x14ac:dyDescent="0.15">
      <c r="A649" s="448"/>
      <c r="B649" s="448"/>
      <c r="C649" s="448"/>
      <c r="D649" s="448"/>
      <c r="E649" s="448"/>
      <c r="F649" s="448"/>
      <c r="G649" s="448"/>
      <c r="H649" s="448"/>
      <c r="I649" s="448"/>
      <c r="J649" s="448"/>
      <c r="K649" s="448"/>
      <c r="L649" s="448"/>
      <c r="M649" s="448"/>
      <c r="N649" s="448"/>
      <c r="O649" s="448"/>
      <c r="P649" s="448"/>
      <c r="Q649" s="448"/>
      <c r="R649" s="448"/>
      <c r="S649" s="448"/>
    </row>
    <row r="650" spans="1:19" x14ac:dyDescent="0.15">
      <c r="A650" s="448"/>
      <c r="B650" s="448"/>
      <c r="C650" s="448"/>
      <c r="D650" s="448"/>
      <c r="E650" s="448"/>
      <c r="F650" s="448"/>
      <c r="G650" s="448"/>
      <c r="H650" s="448"/>
      <c r="I650" s="448"/>
      <c r="J650" s="448"/>
      <c r="K650" s="448"/>
      <c r="L650" s="448"/>
      <c r="M650" s="448"/>
      <c r="N650" s="448"/>
      <c r="O650" s="448"/>
      <c r="P650" s="448"/>
      <c r="Q650" s="448"/>
      <c r="R650" s="448"/>
      <c r="S650" s="448"/>
    </row>
    <row r="651" spans="1:19" x14ac:dyDescent="0.15">
      <c r="A651" s="448"/>
      <c r="B651" s="448"/>
      <c r="C651" s="448"/>
      <c r="D651" s="448"/>
      <c r="E651" s="448"/>
      <c r="F651" s="448"/>
      <c r="G651" s="448"/>
      <c r="H651" s="448"/>
      <c r="I651" s="448"/>
      <c r="J651" s="448"/>
      <c r="K651" s="448"/>
      <c r="L651" s="448"/>
      <c r="M651" s="448"/>
      <c r="N651" s="448"/>
      <c r="O651" s="448"/>
      <c r="P651" s="448"/>
      <c r="Q651" s="448"/>
      <c r="R651" s="448"/>
      <c r="S651" s="448"/>
    </row>
    <row r="652" spans="1:19" x14ac:dyDescent="0.15">
      <c r="A652" s="448"/>
      <c r="B652" s="448"/>
      <c r="C652" s="448"/>
      <c r="D652" s="448"/>
      <c r="E652" s="448"/>
      <c r="F652" s="448"/>
      <c r="G652" s="448"/>
      <c r="H652" s="448"/>
      <c r="I652" s="448"/>
      <c r="J652" s="448"/>
      <c r="K652" s="448"/>
      <c r="L652" s="448"/>
      <c r="M652" s="448"/>
      <c r="N652" s="448"/>
      <c r="O652" s="448"/>
      <c r="P652" s="448"/>
      <c r="Q652" s="448"/>
      <c r="R652" s="448"/>
      <c r="S652" s="448"/>
    </row>
    <row r="653" spans="1:19" x14ac:dyDescent="0.15">
      <c r="A653" s="448"/>
      <c r="B653" s="448"/>
      <c r="C653" s="448"/>
      <c r="D653" s="448"/>
      <c r="E653" s="448"/>
      <c r="F653" s="448"/>
      <c r="G653" s="448"/>
      <c r="H653" s="448"/>
      <c r="I653" s="448"/>
      <c r="J653" s="448"/>
      <c r="K653" s="448"/>
      <c r="L653" s="448"/>
      <c r="M653" s="448"/>
      <c r="N653" s="448"/>
      <c r="O653" s="448"/>
      <c r="P653" s="448"/>
      <c r="Q653" s="448"/>
      <c r="R653" s="448"/>
      <c r="S653" s="448"/>
    </row>
    <row r="654" spans="1:19" x14ac:dyDescent="0.15">
      <c r="A654" s="448"/>
      <c r="B654" s="448"/>
      <c r="C654" s="448"/>
      <c r="D654" s="448"/>
      <c r="E654" s="448"/>
      <c r="F654" s="448"/>
      <c r="G654" s="448"/>
      <c r="H654" s="448"/>
      <c r="I654" s="448"/>
      <c r="J654" s="448"/>
      <c r="K654" s="448"/>
      <c r="L654" s="448"/>
      <c r="M654" s="448"/>
      <c r="N654" s="448"/>
      <c r="O654" s="448"/>
      <c r="P654" s="448"/>
      <c r="Q654" s="448"/>
      <c r="R654" s="448"/>
      <c r="S654" s="448"/>
    </row>
    <row r="655" spans="1:19" x14ac:dyDescent="0.15">
      <c r="A655" s="448"/>
      <c r="B655" s="448"/>
      <c r="C655" s="448"/>
      <c r="D655" s="448"/>
      <c r="E655" s="448"/>
      <c r="F655" s="448"/>
      <c r="G655" s="448"/>
      <c r="H655" s="448"/>
      <c r="I655" s="448"/>
      <c r="J655" s="448"/>
      <c r="K655" s="448"/>
      <c r="L655" s="448"/>
      <c r="M655" s="448"/>
      <c r="N655" s="448"/>
      <c r="O655" s="448"/>
      <c r="P655" s="448"/>
      <c r="Q655" s="448"/>
      <c r="R655" s="448"/>
      <c r="S655" s="448"/>
    </row>
    <row r="656" spans="1:19" x14ac:dyDescent="0.15">
      <c r="A656" s="448"/>
      <c r="B656" s="448"/>
      <c r="C656" s="448"/>
      <c r="D656" s="448"/>
      <c r="E656" s="448"/>
      <c r="F656" s="448"/>
      <c r="G656" s="448"/>
      <c r="H656" s="448"/>
      <c r="I656" s="448"/>
      <c r="J656" s="448"/>
      <c r="K656" s="448"/>
      <c r="L656" s="448"/>
      <c r="M656" s="448"/>
      <c r="N656" s="448"/>
      <c r="O656" s="448"/>
      <c r="P656" s="448"/>
      <c r="Q656" s="448"/>
      <c r="R656" s="448"/>
      <c r="S656" s="448"/>
    </row>
    <row r="657" spans="1:19" x14ac:dyDescent="0.15">
      <c r="A657" s="448"/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</row>
    <row r="658" spans="1:19" x14ac:dyDescent="0.15">
      <c r="A658" s="448"/>
      <c r="B658" s="448"/>
      <c r="C658" s="448"/>
      <c r="D658" s="448"/>
      <c r="E658" s="448"/>
      <c r="F658" s="448"/>
      <c r="G658" s="448"/>
      <c r="H658" s="448"/>
      <c r="I658" s="448"/>
      <c r="J658" s="448"/>
      <c r="K658" s="448"/>
      <c r="L658" s="448"/>
      <c r="M658" s="448"/>
      <c r="N658" s="448"/>
      <c r="O658" s="448"/>
      <c r="P658" s="448"/>
      <c r="Q658" s="448"/>
      <c r="R658" s="448"/>
      <c r="S658" s="448"/>
    </row>
    <row r="659" spans="1:19" x14ac:dyDescent="0.15">
      <c r="A659" s="448"/>
      <c r="B659" s="448"/>
      <c r="C659" s="448"/>
      <c r="D659" s="448"/>
      <c r="E659" s="448"/>
      <c r="F659" s="448"/>
      <c r="G659" s="448"/>
      <c r="H659" s="448"/>
      <c r="I659" s="448"/>
      <c r="J659" s="448"/>
      <c r="K659" s="448"/>
      <c r="L659" s="448"/>
      <c r="M659" s="448"/>
      <c r="N659" s="448"/>
      <c r="O659" s="448"/>
      <c r="P659" s="448"/>
      <c r="Q659" s="448"/>
      <c r="R659" s="448"/>
      <c r="S659" s="448"/>
    </row>
    <row r="660" spans="1:19" x14ac:dyDescent="0.15">
      <c r="A660" s="448"/>
      <c r="B660" s="448"/>
      <c r="C660" s="448"/>
      <c r="D660" s="448"/>
      <c r="E660" s="448"/>
      <c r="F660" s="448"/>
      <c r="G660" s="448"/>
      <c r="H660" s="448"/>
      <c r="I660" s="448"/>
      <c r="J660" s="448"/>
      <c r="K660" s="448"/>
      <c r="L660" s="448"/>
      <c r="M660" s="448"/>
      <c r="N660" s="448"/>
      <c r="O660" s="448"/>
      <c r="P660" s="448"/>
      <c r="Q660" s="448"/>
      <c r="R660" s="448"/>
      <c r="S660" s="448"/>
    </row>
    <row r="661" spans="1:19" x14ac:dyDescent="0.15">
      <c r="A661" s="448"/>
      <c r="B661" s="448"/>
      <c r="C661" s="448"/>
      <c r="D661" s="448"/>
      <c r="E661" s="448"/>
      <c r="F661" s="448"/>
      <c r="G661" s="448"/>
      <c r="H661" s="448"/>
      <c r="I661" s="448"/>
      <c r="J661" s="448"/>
      <c r="K661" s="448"/>
      <c r="L661" s="448"/>
      <c r="M661" s="448"/>
      <c r="N661" s="448"/>
      <c r="O661" s="448"/>
      <c r="P661" s="448"/>
      <c r="Q661" s="448"/>
      <c r="R661" s="448"/>
      <c r="S661" s="448"/>
    </row>
    <row r="662" spans="1:19" x14ac:dyDescent="0.15">
      <c r="A662" s="448"/>
      <c r="B662" s="448"/>
      <c r="C662" s="448"/>
      <c r="D662" s="448"/>
      <c r="E662" s="448"/>
      <c r="F662" s="448"/>
      <c r="G662" s="448"/>
      <c r="H662" s="448"/>
      <c r="I662" s="448"/>
      <c r="J662" s="448"/>
      <c r="K662" s="448"/>
      <c r="L662" s="448"/>
      <c r="M662" s="448"/>
      <c r="N662" s="448"/>
      <c r="O662" s="448"/>
      <c r="P662" s="448"/>
      <c r="Q662" s="448"/>
      <c r="R662" s="448"/>
      <c r="S662" s="448"/>
    </row>
    <row r="663" spans="1:19" x14ac:dyDescent="0.15">
      <c r="A663" s="448"/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</row>
    <row r="664" spans="1:19" x14ac:dyDescent="0.15">
      <c r="A664" s="448"/>
      <c r="B664" s="448"/>
      <c r="C664" s="448"/>
      <c r="D664" s="448"/>
      <c r="E664" s="448"/>
      <c r="F664" s="448"/>
      <c r="G664" s="448"/>
      <c r="H664" s="448"/>
      <c r="I664" s="448"/>
      <c r="J664" s="448"/>
      <c r="K664" s="448"/>
      <c r="L664" s="448"/>
      <c r="M664" s="448"/>
      <c r="N664" s="448"/>
      <c r="O664" s="448"/>
      <c r="P664" s="448"/>
      <c r="Q664" s="448"/>
      <c r="R664" s="448"/>
      <c r="S664" s="448"/>
    </row>
    <row r="665" spans="1:19" x14ac:dyDescent="0.15">
      <c r="A665" s="448"/>
      <c r="B665" s="448"/>
      <c r="C665" s="448"/>
      <c r="D665" s="448"/>
      <c r="E665" s="448"/>
      <c r="F665" s="448"/>
      <c r="G665" s="448"/>
      <c r="H665" s="448"/>
      <c r="I665" s="448"/>
      <c r="J665" s="448"/>
      <c r="K665" s="448"/>
      <c r="L665" s="448"/>
      <c r="M665" s="448"/>
      <c r="N665" s="448"/>
      <c r="O665" s="448"/>
      <c r="P665" s="448"/>
      <c r="Q665" s="448"/>
      <c r="R665" s="448"/>
      <c r="S665" s="448"/>
    </row>
    <row r="666" spans="1:19" x14ac:dyDescent="0.15">
      <c r="A666" s="448"/>
      <c r="B666" s="448"/>
      <c r="C666" s="448"/>
      <c r="D666" s="448"/>
      <c r="E666" s="448"/>
      <c r="F666" s="448"/>
      <c r="G666" s="448"/>
      <c r="H666" s="448"/>
      <c r="I666" s="448"/>
      <c r="J666" s="448"/>
      <c r="K666" s="448"/>
      <c r="L666" s="448"/>
      <c r="M666" s="448"/>
      <c r="N666" s="448"/>
      <c r="O666" s="448"/>
      <c r="P666" s="448"/>
      <c r="Q666" s="448"/>
      <c r="R666" s="448"/>
      <c r="S666" s="448"/>
    </row>
    <row r="667" spans="1:19" x14ac:dyDescent="0.15">
      <c r="A667" s="448"/>
      <c r="B667" s="448"/>
      <c r="C667" s="448"/>
      <c r="D667" s="448"/>
      <c r="E667" s="448"/>
      <c r="F667" s="448"/>
      <c r="G667" s="448"/>
      <c r="H667" s="448"/>
      <c r="I667" s="448"/>
      <c r="J667" s="448"/>
      <c r="K667" s="448"/>
      <c r="L667" s="448"/>
      <c r="M667" s="448"/>
      <c r="N667" s="448"/>
      <c r="O667" s="448"/>
      <c r="P667" s="448"/>
      <c r="Q667" s="448"/>
      <c r="R667" s="448"/>
      <c r="S667" s="448"/>
    </row>
    <row r="668" spans="1:19" x14ac:dyDescent="0.15">
      <c r="A668" s="448"/>
      <c r="B668" s="448"/>
      <c r="C668" s="448"/>
      <c r="D668" s="448"/>
      <c r="E668" s="448"/>
      <c r="F668" s="448"/>
      <c r="G668" s="448"/>
      <c r="H668" s="448"/>
      <c r="I668" s="448"/>
      <c r="J668" s="448"/>
      <c r="K668" s="448"/>
      <c r="L668" s="448"/>
      <c r="M668" s="448"/>
      <c r="N668" s="448"/>
      <c r="O668" s="448"/>
      <c r="P668" s="448"/>
      <c r="Q668" s="448"/>
      <c r="R668" s="448"/>
      <c r="S668" s="448"/>
    </row>
    <row r="669" spans="1:19" x14ac:dyDescent="0.15">
      <c r="A669" s="448"/>
      <c r="B669" s="448"/>
      <c r="C669" s="448"/>
      <c r="D669" s="448"/>
      <c r="E669" s="448"/>
      <c r="F669" s="448"/>
      <c r="G669" s="448"/>
      <c r="H669" s="448"/>
      <c r="I669" s="448"/>
      <c r="J669" s="448"/>
      <c r="K669" s="448"/>
      <c r="L669" s="448"/>
      <c r="M669" s="448"/>
      <c r="N669" s="448"/>
      <c r="O669" s="448"/>
      <c r="P669" s="448"/>
      <c r="Q669" s="448"/>
      <c r="R669" s="448"/>
      <c r="S669" s="448"/>
    </row>
    <row r="670" spans="1:19" x14ac:dyDescent="0.15">
      <c r="A670" s="448"/>
      <c r="B670" s="448"/>
      <c r="C670" s="448"/>
      <c r="D670" s="448"/>
      <c r="E670" s="448"/>
      <c r="F670" s="448"/>
      <c r="G670" s="448"/>
      <c r="H670" s="448"/>
      <c r="I670" s="448"/>
      <c r="J670" s="448"/>
      <c r="K670" s="448"/>
      <c r="L670" s="448"/>
      <c r="M670" s="448"/>
      <c r="N670" s="448"/>
      <c r="O670" s="448"/>
      <c r="P670" s="448"/>
      <c r="Q670" s="448"/>
      <c r="R670" s="448"/>
      <c r="S670" s="448"/>
    </row>
    <row r="671" spans="1:19" x14ac:dyDescent="0.15">
      <c r="A671" s="448"/>
      <c r="B671" s="448"/>
      <c r="C671" s="448"/>
      <c r="D671" s="448"/>
      <c r="E671" s="448"/>
      <c r="F671" s="448"/>
      <c r="G671" s="448"/>
      <c r="H671" s="448"/>
      <c r="I671" s="448"/>
      <c r="J671" s="448"/>
      <c r="K671" s="448"/>
      <c r="L671" s="448"/>
      <c r="M671" s="448"/>
      <c r="N671" s="448"/>
      <c r="O671" s="448"/>
      <c r="P671" s="448"/>
      <c r="Q671" s="448"/>
      <c r="R671" s="448"/>
      <c r="S671" s="448"/>
    </row>
    <row r="672" spans="1:19" x14ac:dyDescent="0.15">
      <c r="A672" s="448"/>
      <c r="B672" s="448"/>
      <c r="C672" s="448"/>
      <c r="D672" s="448"/>
      <c r="E672" s="448"/>
      <c r="F672" s="448"/>
      <c r="G672" s="448"/>
      <c r="H672" s="448"/>
      <c r="I672" s="448"/>
      <c r="J672" s="448"/>
      <c r="K672" s="448"/>
      <c r="L672" s="448"/>
      <c r="M672" s="448"/>
      <c r="N672" s="448"/>
      <c r="O672" s="448"/>
      <c r="P672" s="448"/>
      <c r="Q672" s="448"/>
      <c r="R672" s="448"/>
      <c r="S672" s="448"/>
    </row>
    <row r="673" spans="1:19" x14ac:dyDescent="0.15">
      <c r="A673" s="448"/>
      <c r="B673" s="448"/>
      <c r="C673" s="448"/>
      <c r="D673" s="448"/>
      <c r="E673" s="448"/>
      <c r="F673" s="448"/>
      <c r="G673" s="448"/>
      <c r="H673" s="448"/>
      <c r="I673" s="448"/>
      <c r="J673" s="448"/>
      <c r="K673" s="448"/>
      <c r="L673" s="448"/>
      <c r="M673" s="448"/>
      <c r="N673" s="448"/>
      <c r="O673" s="448"/>
      <c r="P673" s="448"/>
      <c r="Q673" s="448"/>
      <c r="R673" s="448"/>
      <c r="S673" s="448"/>
    </row>
    <row r="674" spans="1:19" x14ac:dyDescent="0.15">
      <c r="A674" s="448"/>
      <c r="B674" s="448"/>
      <c r="C674" s="448"/>
      <c r="D674" s="448"/>
      <c r="E674" s="448"/>
      <c r="F674" s="448"/>
      <c r="G674" s="448"/>
      <c r="H674" s="448"/>
      <c r="I674" s="448"/>
      <c r="J674" s="448"/>
      <c r="K674" s="448"/>
      <c r="L674" s="448"/>
      <c r="M674" s="448"/>
      <c r="N674" s="448"/>
      <c r="O674" s="448"/>
      <c r="P674" s="448"/>
      <c r="Q674" s="448"/>
      <c r="R674" s="448"/>
      <c r="S674" s="448"/>
    </row>
    <row r="675" spans="1:19" x14ac:dyDescent="0.15">
      <c r="A675" s="448"/>
      <c r="B675" s="448"/>
      <c r="C675" s="448"/>
      <c r="D675" s="448"/>
      <c r="E675" s="448"/>
      <c r="F675" s="448"/>
      <c r="G675" s="448"/>
      <c r="H675" s="448"/>
      <c r="I675" s="448"/>
      <c r="J675" s="448"/>
      <c r="K675" s="448"/>
      <c r="L675" s="448"/>
      <c r="M675" s="448"/>
      <c r="N675" s="448"/>
      <c r="O675" s="448"/>
      <c r="P675" s="448"/>
      <c r="Q675" s="448"/>
      <c r="R675" s="448"/>
      <c r="S675" s="448"/>
    </row>
    <row r="676" spans="1:19" x14ac:dyDescent="0.15">
      <c r="A676" s="448"/>
      <c r="B676" s="448"/>
      <c r="C676" s="448"/>
      <c r="D676" s="448"/>
      <c r="E676" s="448"/>
      <c r="F676" s="448"/>
      <c r="G676" s="448"/>
      <c r="H676" s="448"/>
      <c r="I676" s="448"/>
      <c r="J676" s="448"/>
      <c r="K676" s="448"/>
      <c r="L676" s="448"/>
      <c r="M676" s="448"/>
      <c r="N676" s="448"/>
      <c r="O676" s="448"/>
      <c r="P676" s="448"/>
      <c r="Q676" s="448"/>
      <c r="R676" s="448"/>
      <c r="S676" s="448"/>
    </row>
    <row r="677" spans="1:19" x14ac:dyDescent="0.15">
      <c r="A677" s="448"/>
      <c r="B677" s="448"/>
      <c r="C677" s="448"/>
      <c r="D677" s="448"/>
      <c r="E677" s="448"/>
      <c r="F677" s="448"/>
      <c r="G677" s="448"/>
      <c r="H677" s="448"/>
      <c r="I677" s="448"/>
      <c r="J677" s="448"/>
      <c r="K677" s="448"/>
      <c r="L677" s="448"/>
      <c r="M677" s="448"/>
      <c r="N677" s="448"/>
      <c r="O677" s="448"/>
      <c r="P677" s="448"/>
      <c r="Q677" s="448"/>
      <c r="R677" s="448"/>
      <c r="S677" s="448"/>
    </row>
    <row r="678" spans="1:19" x14ac:dyDescent="0.15">
      <c r="A678" s="448"/>
      <c r="B678" s="448"/>
      <c r="C678" s="448"/>
      <c r="D678" s="448"/>
      <c r="E678" s="448"/>
      <c r="F678" s="448"/>
      <c r="G678" s="448"/>
      <c r="H678" s="448"/>
      <c r="I678" s="448"/>
      <c r="J678" s="448"/>
      <c r="K678" s="448"/>
      <c r="L678" s="448"/>
      <c r="M678" s="448"/>
      <c r="N678" s="448"/>
      <c r="O678" s="448"/>
      <c r="P678" s="448"/>
      <c r="Q678" s="448"/>
      <c r="R678" s="448"/>
      <c r="S678" s="448"/>
    </row>
    <row r="679" spans="1:19" x14ac:dyDescent="0.15">
      <c r="A679" s="448"/>
      <c r="B679" s="448"/>
      <c r="C679" s="448"/>
      <c r="D679" s="448"/>
      <c r="E679" s="448"/>
      <c r="F679" s="448"/>
      <c r="G679" s="448"/>
      <c r="H679" s="448"/>
      <c r="I679" s="448"/>
      <c r="J679" s="448"/>
      <c r="K679" s="448"/>
      <c r="L679" s="448"/>
      <c r="M679" s="448"/>
      <c r="N679" s="448"/>
      <c r="O679" s="448"/>
      <c r="P679" s="448"/>
      <c r="Q679" s="448"/>
      <c r="R679" s="448"/>
      <c r="S679" s="448"/>
    </row>
    <row r="680" spans="1:19" x14ac:dyDescent="0.15">
      <c r="A680" s="448"/>
      <c r="B680" s="448"/>
      <c r="C680" s="448"/>
      <c r="D680" s="448"/>
      <c r="E680" s="448"/>
      <c r="F680" s="448"/>
      <c r="G680" s="448"/>
      <c r="H680" s="448"/>
      <c r="I680" s="448"/>
      <c r="J680" s="448"/>
      <c r="K680" s="448"/>
      <c r="L680" s="448"/>
      <c r="M680" s="448"/>
      <c r="N680" s="448"/>
      <c r="O680" s="448"/>
      <c r="P680" s="448"/>
      <c r="Q680" s="448"/>
      <c r="R680" s="448"/>
      <c r="S680" s="448"/>
    </row>
    <row r="681" spans="1:19" x14ac:dyDescent="0.15">
      <c r="A681" s="448"/>
      <c r="B681" s="448"/>
      <c r="C681" s="448"/>
      <c r="D681" s="448"/>
      <c r="E681" s="448"/>
      <c r="F681" s="448"/>
      <c r="G681" s="448"/>
      <c r="H681" s="448"/>
      <c r="I681" s="448"/>
      <c r="J681" s="448"/>
      <c r="K681" s="448"/>
      <c r="L681" s="448"/>
      <c r="M681" s="448"/>
      <c r="N681" s="448"/>
      <c r="O681" s="448"/>
      <c r="P681" s="448"/>
      <c r="Q681" s="448"/>
      <c r="R681" s="448"/>
      <c r="S681" s="448"/>
    </row>
    <row r="682" spans="1:19" x14ac:dyDescent="0.15">
      <c r="A682" s="448"/>
      <c r="B682" s="448"/>
      <c r="C682" s="448"/>
      <c r="D682" s="448"/>
      <c r="E682" s="448"/>
      <c r="F682" s="448"/>
      <c r="G682" s="448"/>
      <c r="H682" s="448"/>
      <c r="I682" s="448"/>
      <c r="J682" s="448"/>
      <c r="K682" s="448"/>
      <c r="L682" s="448"/>
      <c r="M682" s="448"/>
      <c r="N682" s="448"/>
      <c r="O682" s="448"/>
      <c r="P682" s="448"/>
      <c r="Q682" s="448"/>
      <c r="R682" s="448"/>
      <c r="S682" s="448"/>
    </row>
    <row r="683" spans="1:19" x14ac:dyDescent="0.15">
      <c r="A683" s="448"/>
      <c r="B683" s="448"/>
      <c r="C683" s="448"/>
      <c r="D683" s="448"/>
      <c r="E683" s="448"/>
      <c r="F683" s="448"/>
      <c r="G683" s="448"/>
      <c r="H683" s="448"/>
      <c r="I683" s="448"/>
      <c r="J683" s="448"/>
      <c r="K683" s="448"/>
      <c r="L683" s="448"/>
      <c r="M683" s="448"/>
      <c r="N683" s="448"/>
      <c r="O683" s="448"/>
      <c r="P683" s="448"/>
      <c r="Q683" s="448"/>
      <c r="R683" s="448"/>
      <c r="S683" s="448"/>
    </row>
    <row r="684" spans="1:19" x14ac:dyDescent="0.15">
      <c r="A684" s="448"/>
      <c r="B684" s="448"/>
      <c r="C684" s="448"/>
      <c r="D684" s="448"/>
      <c r="E684" s="448"/>
      <c r="F684" s="448"/>
      <c r="G684" s="448"/>
      <c r="H684" s="448"/>
      <c r="I684" s="448"/>
      <c r="J684" s="448"/>
      <c r="K684" s="448"/>
      <c r="L684" s="448"/>
      <c r="M684" s="448"/>
      <c r="N684" s="448"/>
      <c r="O684" s="448"/>
      <c r="P684" s="448"/>
      <c r="Q684" s="448"/>
      <c r="R684" s="448"/>
      <c r="S684" s="448"/>
    </row>
    <row r="685" spans="1:19" x14ac:dyDescent="0.15">
      <c r="A685" s="448"/>
      <c r="B685" s="448"/>
      <c r="C685" s="448"/>
      <c r="D685" s="448"/>
      <c r="E685" s="448"/>
      <c r="F685" s="448"/>
      <c r="G685" s="448"/>
      <c r="H685" s="448"/>
      <c r="I685" s="448"/>
      <c r="J685" s="448"/>
      <c r="K685" s="448"/>
      <c r="L685" s="448"/>
      <c r="M685" s="448"/>
      <c r="N685" s="448"/>
      <c r="O685" s="448"/>
      <c r="P685" s="448"/>
      <c r="Q685" s="448"/>
      <c r="R685" s="448"/>
      <c r="S685" s="448"/>
    </row>
    <row r="686" spans="1:19" x14ac:dyDescent="0.15">
      <c r="A686" s="448"/>
      <c r="B686" s="448"/>
      <c r="C686" s="448"/>
      <c r="D686" s="448"/>
      <c r="E686" s="448"/>
      <c r="F686" s="448"/>
      <c r="G686" s="448"/>
      <c r="H686" s="448"/>
      <c r="I686" s="448"/>
      <c r="J686" s="448"/>
      <c r="K686" s="448"/>
      <c r="L686" s="448"/>
      <c r="M686" s="448"/>
      <c r="N686" s="448"/>
      <c r="O686" s="448"/>
      <c r="P686" s="448"/>
      <c r="Q686" s="448"/>
      <c r="R686" s="448"/>
      <c r="S686" s="448"/>
    </row>
    <row r="687" spans="1:19" x14ac:dyDescent="0.15">
      <c r="A687" s="448"/>
      <c r="B687" s="448"/>
      <c r="C687" s="448"/>
      <c r="D687" s="448"/>
      <c r="E687" s="448"/>
      <c r="F687" s="448"/>
      <c r="G687" s="448"/>
      <c r="H687" s="448"/>
      <c r="I687" s="448"/>
      <c r="J687" s="448"/>
      <c r="K687" s="448"/>
      <c r="L687" s="448"/>
      <c r="M687" s="448"/>
      <c r="N687" s="448"/>
      <c r="O687" s="448"/>
      <c r="P687" s="448"/>
      <c r="Q687" s="448"/>
      <c r="R687" s="448"/>
      <c r="S687" s="448"/>
    </row>
    <row r="688" spans="1:19" x14ac:dyDescent="0.15">
      <c r="A688" s="448"/>
      <c r="B688" s="448"/>
      <c r="C688" s="448"/>
      <c r="D688" s="448"/>
      <c r="E688" s="448"/>
      <c r="F688" s="448"/>
      <c r="G688" s="448"/>
      <c r="H688" s="448"/>
      <c r="I688" s="448"/>
      <c r="J688" s="448"/>
      <c r="K688" s="448"/>
      <c r="L688" s="448"/>
      <c r="M688" s="448"/>
      <c r="N688" s="448"/>
      <c r="O688" s="448"/>
      <c r="P688" s="448"/>
      <c r="Q688" s="448"/>
      <c r="R688" s="448"/>
      <c r="S688" s="448"/>
    </row>
    <row r="689" spans="1:19" x14ac:dyDescent="0.15">
      <c r="A689" s="448"/>
      <c r="B689" s="448"/>
      <c r="C689" s="448"/>
      <c r="D689" s="448"/>
      <c r="E689" s="448"/>
      <c r="F689" s="448"/>
      <c r="G689" s="448"/>
      <c r="H689" s="448"/>
      <c r="I689" s="448"/>
      <c r="J689" s="448"/>
      <c r="K689" s="448"/>
      <c r="L689" s="448"/>
      <c r="M689" s="448"/>
      <c r="N689" s="448"/>
      <c r="O689" s="448"/>
      <c r="P689" s="448"/>
      <c r="Q689" s="448"/>
      <c r="R689" s="448"/>
      <c r="S689" s="448"/>
    </row>
    <row r="690" spans="1:19" x14ac:dyDescent="0.15">
      <c r="A690" s="448"/>
      <c r="B690" s="448"/>
      <c r="C690" s="448"/>
      <c r="D690" s="448"/>
      <c r="E690" s="448"/>
      <c r="F690" s="448"/>
      <c r="G690" s="448"/>
      <c r="H690" s="448"/>
      <c r="I690" s="448"/>
      <c r="J690" s="448"/>
      <c r="K690" s="448"/>
      <c r="L690" s="448"/>
      <c r="M690" s="448"/>
      <c r="N690" s="448"/>
      <c r="O690" s="448"/>
      <c r="P690" s="448"/>
      <c r="Q690" s="448"/>
      <c r="R690" s="448"/>
      <c r="S690" s="448"/>
    </row>
    <row r="691" spans="1:19" x14ac:dyDescent="0.15">
      <c r="A691" s="448"/>
      <c r="B691" s="448"/>
      <c r="C691" s="448"/>
      <c r="D691" s="448"/>
      <c r="E691" s="448"/>
      <c r="F691" s="448"/>
      <c r="G691" s="448"/>
      <c r="H691" s="448"/>
      <c r="I691" s="448"/>
      <c r="J691" s="448"/>
      <c r="K691" s="448"/>
      <c r="L691" s="448"/>
      <c r="M691" s="448"/>
      <c r="N691" s="448"/>
      <c r="O691" s="448"/>
      <c r="P691" s="448"/>
      <c r="Q691" s="448"/>
      <c r="R691" s="448"/>
      <c r="S691" s="448"/>
    </row>
    <row r="692" spans="1:19" x14ac:dyDescent="0.15">
      <c r="A692" s="448"/>
      <c r="B692" s="448"/>
      <c r="C692" s="448"/>
      <c r="D692" s="448"/>
      <c r="E692" s="448"/>
      <c r="F692" s="448"/>
      <c r="G692" s="448"/>
      <c r="H692" s="448"/>
      <c r="I692" s="448"/>
      <c r="J692" s="448"/>
      <c r="K692" s="448"/>
      <c r="L692" s="448"/>
      <c r="M692" s="448"/>
      <c r="N692" s="448"/>
      <c r="O692" s="448"/>
      <c r="P692" s="448"/>
      <c r="Q692" s="448"/>
      <c r="R692" s="448"/>
      <c r="S692" s="448"/>
    </row>
    <row r="693" spans="1:19" x14ac:dyDescent="0.15">
      <c r="A693" s="448"/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</row>
    <row r="694" spans="1:19" x14ac:dyDescent="0.15">
      <c r="A694" s="448"/>
      <c r="B694" s="448"/>
      <c r="C694" s="448"/>
      <c r="D694" s="448"/>
      <c r="E694" s="448"/>
      <c r="F694" s="448"/>
      <c r="G694" s="448"/>
      <c r="H694" s="448"/>
      <c r="I694" s="448"/>
      <c r="J694" s="448"/>
      <c r="K694" s="448"/>
      <c r="L694" s="448"/>
      <c r="M694" s="448"/>
      <c r="N694" s="448"/>
      <c r="O694" s="448"/>
      <c r="P694" s="448"/>
      <c r="Q694" s="448"/>
      <c r="R694" s="448"/>
      <c r="S694" s="448"/>
    </row>
    <row r="695" spans="1:19" x14ac:dyDescent="0.15">
      <c r="A695" s="448"/>
      <c r="B695" s="448"/>
      <c r="C695" s="448"/>
      <c r="D695" s="448"/>
      <c r="E695" s="448"/>
      <c r="F695" s="448"/>
      <c r="G695" s="448"/>
      <c r="H695" s="448"/>
      <c r="I695" s="448"/>
      <c r="J695" s="448"/>
      <c r="K695" s="448"/>
      <c r="L695" s="448"/>
      <c r="M695" s="448"/>
      <c r="N695" s="448"/>
      <c r="O695" s="448"/>
      <c r="P695" s="448"/>
      <c r="Q695" s="448"/>
      <c r="R695" s="448"/>
      <c r="S695" s="448"/>
    </row>
    <row r="696" spans="1:19" x14ac:dyDescent="0.15">
      <c r="A696" s="448"/>
      <c r="B696" s="448"/>
      <c r="C696" s="448"/>
      <c r="D696" s="448"/>
      <c r="E696" s="448"/>
      <c r="F696" s="448"/>
      <c r="G696" s="448"/>
      <c r="H696" s="448"/>
      <c r="I696" s="448"/>
      <c r="J696" s="448"/>
      <c r="K696" s="448"/>
      <c r="L696" s="448"/>
      <c r="M696" s="448"/>
      <c r="N696" s="448"/>
      <c r="O696" s="448"/>
      <c r="P696" s="448"/>
      <c r="Q696" s="448"/>
      <c r="R696" s="448"/>
      <c r="S696" s="448"/>
    </row>
    <row r="697" spans="1:19" x14ac:dyDescent="0.15">
      <c r="A697" s="448"/>
      <c r="B697" s="448"/>
      <c r="C697" s="448"/>
      <c r="D697" s="448"/>
      <c r="E697" s="448"/>
      <c r="F697" s="448"/>
      <c r="G697" s="448"/>
      <c r="H697" s="448"/>
      <c r="I697" s="448"/>
      <c r="J697" s="448"/>
      <c r="K697" s="448"/>
      <c r="L697" s="448"/>
      <c r="M697" s="448"/>
      <c r="N697" s="448"/>
      <c r="O697" s="448"/>
      <c r="P697" s="448"/>
      <c r="Q697" s="448"/>
      <c r="R697" s="448"/>
      <c r="S697" s="448"/>
    </row>
    <row r="698" spans="1:19" x14ac:dyDescent="0.15">
      <c r="A698" s="448"/>
      <c r="B698" s="448"/>
      <c r="C698" s="448"/>
      <c r="D698" s="448"/>
      <c r="E698" s="448"/>
      <c r="F698" s="448"/>
      <c r="G698" s="448"/>
      <c r="H698" s="448"/>
      <c r="I698" s="448"/>
      <c r="J698" s="448"/>
      <c r="K698" s="448"/>
      <c r="L698" s="448"/>
      <c r="M698" s="448"/>
      <c r="N698" s="448"/>
      <c r="O698" s="448"/>
      <c r="P698" s="448"/>
      <c r="Q698" s="448"/>
      <c r="R698" s="448"/>
      <c r="S698" s="448"/>
    </row>
    <row r="699" spans="1:19" x14ac:dyDescent="0.15">
      <c r="A699" s="448"/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</row>
    <row r="700" spans="1:19" x14ac:dyDescent="0.15">
      <c r="A700" s="448"/>
      <c r="B700" s="448"/>
      <c r="C700" s="448"/>
      <c r="D700" s="448"/>
      <c r="E700" s="448"/>
      <c r="F700" s="448"/>
      <c r="G700" s="448"/>
      <c r="H700" s="448"/>
      <c r="I700" s="448"/>
      <c r="J700" s="448"/>
      <c r="K700" s="448"/>
      <c r="L700" s="448"/>
      <c r="M700" s="448"/>
      <c r="N700" s="448"/>
      <c r="O700" s="448"/>
      <c r="P700" s="448"/>
      <c r="Q700" s="448"/>
      <c r="R700" s="448"/>
      <c r="S700" s="448"/>
    </row>
    <row r="701" spans="1:19" x14ac:dyDescent="0.15">
      <c r="A701" s="448"/>
      <c r="B701" s="448"/>
      <c r="C701" s="448"/>
      <c r="D701" s="448"/>
      <c r="E701" s="448"/>
      <c r="F701" s="448"/>
      <c r="G701" s="448"/>
      <c r="H701" s="448"/>
      <c r="I701" s="448"/>
      <c r="J701" s="448"/>
      <c r="K701" s="448"/>
      <c r="L701" s="448"/>
      <c r="M701" s="448"/>
      <c r="N701" s="448"/>
      <c r="O701" s="448"/>
      <c r="P701" s="448"/>
      <c r="Q701" s="448"/>
      <c r="R701" s="448"/>
      <c r="S701" s="448"/>
    </row>
    <row r="702" spans="1:19" x14ac:dyDescent="0.15">
      <c r="A702" s="448"/>
      <c r="B702" s="448"/>
      <c r="C702" s="448"/>
      <c r="D702" s="448"/>
      <c r="E702" s="448"/>
      <c r="F702" s="448"/>
      <c r="G702" s="448"/>
      <c r="H702" s="448"/>
      <c r="I702" s="448"/>
      <c r="J702" s="448"/>
      <c r="K702" s="448"/>
      <c r="L702" s="448"/>
      <c r="M702" s="448"/>
      <c r="N702" s="448"/>
      <c r="O702" s="448"/>
      <c r="P702" s="448"/>
      <c r="Q702" s="448"/>
      <c r="R702" s="448"/>
      <c r="S702" s="448"/>
    </row>
    <row r="703" spans="1:19" x14ac:dyDescent="0.15">
      <c r="A703" s="448"/>
      <c r="B703" s="448"/>
      <c r="C703" s="448"/>
      <c r="D703" s="448"/>
      <c r="E703" s="448"/>
      <c r="F703" s="448"/>
      <c r="G703" s="448"/>
      <c r="H703" s="448"/>
      <c r="I703" s="448"/>
      <c r="J703" s="448"/>
      <c r="K703" s="448"/>
      <c r="L703" s="448"/>
      <c r="M703" s="448"/>
      <c r="N703" s="448"/>
      <c r="O703" s="448"/>
      <c r="P703" s="448"/>
      <c r="Q703" s="448"/>
      <c r="R703" s="448"/>
      <c r="S703" s="448"/>
    </row>
    <row r="704" spans="1:19" x14ac:dyDescent="0.15">
      <c r="A704" s="448"/>
      <c r="B704" s="448"/>
      <c r="C704" s="448"/>
      <c r="D704" s="448"/>
      <c r="E704" s="448"/>
      <c r="F704" s="448"/>
      <c r="G704" s="448"/>
      <c r="H704" s="448"/>
      <c r="I704" s="448"/>
      <c r="J704" s="448"/>
      <c r="K704" s="448"/>
      <c r="L704" s="448"/>
      <c r="M704" s="448"/>
      <c r="N704" s="448"/>
      <c r="O704" s="448"/>
      <c r="P704" s="448"/>
      <c r="Q704" s="448"/>
      <c r="R704" s="448"/>
      <c r="S704" s="448"/>
    </row>
    <row r="705" spans="1:19" x14ac:dyDescent="0.15">
      <c r="A705" s="448"/>
      <c r="B705" s="448"/>
      <c r="C705" s="448"/>
      <c r="D705" s="448"/>
      <c r="E705" s="448"/>
      <c r="F705" s="448"/>
      <c r="G705" s="448"/>
      <c r="H705" s="448"/>
      <c r="I705" s="448"/>
      <c r="J705" s="448"/>
      <c r="K705" s="448"/>
      <c r="L705" s="448"/>
      <c r="M705" s="448"/>
      <c r="N705" s="448"/>
      <c r="O705" s="448"/>
      <c r="P705" s="448"/>
      <c r="Q705" s="448"/>
      <c r="R705" s="448"/>
      <c r="S705" s="448"/>
    </row>
    <row r="706" spans="1:19" x14ac:dyDescent="0.15">
      <c r="A706" s="448"/>
      <c r="B706" s="448"/>
      <c r="C706" s="448"/>
      <c r="D706" s="448"/>
      <c r="E706" s="448"/>
      <c r="F706" s="448"/>
      <c r="G706" s="448"/>
      <c r="H706" s="448"/>
      <c r="I706" s="448"/>
      <c r="J706" s="448"/>
      <c r="K706" s="448"/>
      <c r="L706" s="448"/>
      <c r="M706" s="448"/>
      <c r="N706" s="448"/>
      <c r="O706" s="448"/>
      <c r="P706" s="448"/>
      <c r="Q706" s="448"/>
      <c r="R706" s="448"/>
      <c r="S706" s="448"/>
    </row>
    <row r="707" spans="1:19" x14ac:dyDescent="0.15">
      <c r="A707" s="448"/>
      <c r="B707" s="448"/>
      <c r="C707" s="448"/>
      <c r="D707" s="448"/>
      <c r="E707" s="448"/>
      <c r="F707" s="448"/>
      <c r="G707" s="448"/>
      <c r="H707" s="448"/>
      <c r="I707" s="448"/>
      <c r="J707" s="448"/>
      <c r="K707" s="448"/>
      <c r="L707" s="448"/>
      <c r="M707" s="448"/>
      <c r="N707" s="448"/>
      <c r="O707" s="448"/>
      <c r="P707" s="448"/>
      <c r="Q707" s="448"/>
      <c r="R707" s="448"/>
      <c r="S707" s="448"/>
    </row>
    <row r="708" spans="1:19" x14ac:dyDescent="0.15">
      <c r="A708" s="448"/>
      <c r="B708" s="448"/>
      <c r="C708" s="448"/>
      <c r="D708" s="448"/>
      <c r="E708" s="448"/>
      <c r="F708" s="448"/>
      <c r="G708" s="448"/>
      <c r="H708" s="448"/>
      <c r="I708" s="448"/>
      <c r="J708" s="448"/>
      <c r="K708" s="448"/>
      <c r="L708" s="448"/>
      <c r="M708" s="448"/>
      <c r="N708" s="448"/>
      <c r="O708" s="448"/>
      <c r="P708" s="448"/>
      <c r="Q708" s="448"/>
      <c r="R708" s="448"/>
      <c r="S708" s="448"/>
    </row>
    <row r="709" spans="1:19" x14ac:dyDescent="0.15">
      <c r="A709" s="448"/>
      <c r="B709" s="448"/>
      <c r="C709" s="448"/>
      <c r="D709" s="448"/>
      <c r="E709" s="448"/>
      <c r="F709" s="448"/>
      <c r="G709" s="448"/>
      <c r="H709" s="448"/>
      <c r="I709" s="448"/>
      <c r="J709" s="448"/>
      <c r="K709" s="448"/>
      <c r="L709" s="448"/>
      <c r="M709" s="448"/>
      <c r="N709" s="448"/>
      <c r="O709" s="448"/>
      <c r="P709" s="448"/>
      <c r="Q709" s="448"/>
      <c r="R709" s="448"/>
      <c r="S709" s="448"/>
    </row>
    <row r="710" spans="1:19" x14ac:dyDescent="0.15">
      <c r="A710" s="448"/>
      <c r="B710" s="448"/>
      <c r="C710" s="448"/>
      <c r="D710" s="448"/>
      <c r="E710" s="448"/>
      <c r="F710" s="448"/>
      <c r="G710" s="448"/>
      <c r="H710" s="448"/>
      <c r="I710" s="448"/>
      <c r="J710" s="448"/>
      <c r="K710" s="448"/>
      <c r="L710" s="448"/>
      <c r="M710" s="448"/>
      <c r="N710" s="448"/>
      <c r="O710" s="448"/>
      <c r="P710" s="448"/>
      <c r="Q710" s="448"/>
      <c r="R710" s="448"/>
      <c r="S710" s="448"/>
    </row>
    <row r="711" spans="1:19" x14ac:dyDescent="0.15">
      <c r="A711" s="448"/>
      <c r="B711" s="448"/>
      <c r="C711" s="448"/>
      <c r="D711" s="448"/>
      <c r="E711" s="448"/>
      <c r="F711" s="448"/>
      <c r="G711" s="448"/>
      <c r="H711" s="448"/>
      <c r="I711" s="448"/>
      <c r="J711" s="448"/>
      <c r="K711" s="448"/>
      <c r="L711" s="448"/>
      <c r="M711" s="448"/>
      <c r="N711" s="448"/>
      <c r="O711" s="448"/>
      <c r="P711" s="448"/>
      <c r="Q711" s="448"/>
      <c r="R711" s="448"/>
      <c r="S711" s="448"/>
    </row>
    <row r="712" spans="1:19" x14ac:dyDescent="0.15">
      <c r="A712" s="448"/>
      <c r="B712" s="448"/>
      <c r="C712" s="448"/>
      <c r="D712" s="448"/>
      <c r="E712" s="448"/>
      <c r="F712" s="448"/>
      <c r="G712" s="448"/>
      <c r="H712" s="448"/>
      <c r="I712" s="448"/>
      <c r="J712" s="448"/>
      <c r="K712" s="448"/>
      <c r="L712" s="448"/>
      <c r="M712" s="448"/>
      <c r="N712" s="448"/>
      <c r="O712" s="448"/>
      <c r="P712" s="448"/>
      <c r="Q712" s="448"/>
      <c r="R712" s="448"/>
      <c r="S712" s="448"/>
    </row>
    <row r="713" spans="1:19" x14ac:dyDescent="0.15">
      <c r="A713" s="448"/>
      <c r="B713" s="448"/>
      <c r="C713" s="448"/>
      <c r="D713" s="448"/>
      <c r="E713" s="448"/>
      <c r="F713" s="448"/>
      <c r="G713" s="448"/>
      <c r="H713" s="448"/>
      <c r="I713" s="448"/>
      <c r="J713" s="448"/>
      <c r="K713" s="448"/>
      <c r="L713" s="448"/>
      <c r="M713" s="448"/>
      <c r="N713" s="448"/>
      <c r="O713" s="448"/>
      <c r="P713" s="448"/>
      <c r="Q713" s="448"/>
      <c r="R713" s="448"/>
      <c r="S713" s="448"/>
    </row>
    <row r="714" spans="1:19" x14ac:dyDescent="0.15">
      <c r="A714" s="448"/>
      <c r="B714" s="448"/>
      <c r="C714" s="448"/>
      <c r="D714" s="448"/>
      <c r="E714" s="448"/>
      <c r="F714" s="448"/>
      <c r="G714" s="448"/>
      <c r="H714" s="448"/>
      <c r="I714" s="448"/>
      <c r="J714" s="448"/>
      <c r="K714" s="448"/>
      <c r="L714" s="448"/>
      <c r="M714" s="448"/>
      <c r="N714" s="448"/>
      <c r="O714" s="448"/>
      <c r="P714" s="448"/>
      <c r="Q714" s="448"/>
      <c r="R714" s="448"/>
      <c r="S714" s="448"/>
    </row>
    <row r="715" spans="1:19" x14ac:dyDescent="0.15">
      <c r="A715" s="448"/>
      <c r="B715" s="448"/>
      <c r="C715" s="448"/>
      <c r="D715" s="448"/>
      <c r="E715" s="448"/>
      <c r="F715" s="448"/>
      <c r="G715" s="448"/>
      <c r="H715" s="448"/>
      <c r="I715" s="448"/>
      <c r="J715" s="448"/>
      <c r="K715" s="448"/>
      <c r="L715" s="448"/>
      <c r="M715" s="448"/>
      <c r="N715" s="448"/>
      <c r="O715" s="448"/>
      <c r="P715" s="448"/>
      <c r="Q715" s="448"/>
      <c r="R715" s="448"/>
      <c r="S715" s="448"/>
    </row>
    <row r="716" spans="1:19" x14ac:dyDescent="0.15">
      <c r="A716" s="448"/>
      <c r="B716" s="448"/>
      <c r="C716" s="448"/>
      <c r="D716" s="448"/>
      <c r="E716" s="448"/>
      <c r="F716" s="448"/>
      <c r="G716" s="448"/>
      <c r="H716" s="448"/>
      <c r="I716" s="448"/>
      <c r="J716" s="448"/>
      <c r="K716" s="448"/>
      <c r="L716" s="448"/>
      <c r="M716" s="448"/>
      <c r="N716" s="448"/>
      <c r="O716" s="448"/>
      <c r="P716" s="448"/>
      <c r="Q716" s="448"/>
      <c r="R716" s="448"/>
      <c r="S716" s="448"/>
    </row>
    <row r="717" spans="1:19" x14ac:dyDescent="0.15">
      <c r="A717" s="448"/>
      <c r="B717" s="448"/>
      <c r="C717" s="448"/>
      <c r="D717" s="448"/>
      <c r="E717" s="448"/>
      <c r="F717" s="448"/>
      <c r="G717" s="448"/>
      <c r="H717" s="448"/>
      <c r="I717" s="448"/>
      <c r="J717" s="448"/>
      <c r="K717" s="448"/>
      <c r="L717" s="448"/>
      <c r="M717" s="448"/>
      <c r="N717" s="448"/>
      <c r="O717" s="448"/>
      <c r="P717" s="448"/>
      <c r="Q717" s="448"/>
      <c r="R717" s="448"/>
      <c r="S717" s="448"/>
    </row>
    <row r="718" spans="1:19" x14ac:dyDescent="0.15">
      <c r="A718" s="448"/>
      <c r="B718" s="448"/>
      <c r="C718" s="448"/>
      <c r="D718" s="448"/>
      <c r="E718" s="448"/>
      <c r="F718" s="448"/>
      <c r="G718" s="448"/>
      <c r="H718" s="448"/>
      <c r="I718" s="448"/>
      <c r="J718" s="448"/>
      <c r="K718" s="448"/>
      <c r="L718" s="448"/>
      <c r="M718" s="448"/>
      <c r="N718" s="448"/>
      <c r="O718" s="448"/>
      <c r="P718" s="448"/>
      <c r="Q718" s="448"/>
      <c r="R718" s="448"/>
      <c r="S718" s="448"/>
    </row>
    <row r="719" spans="1:19" x14ac:dyDescent="0.15">
      <c r="A719" s="448"/>
      <c r="B719" s="448"/>
      <c r="C719" s="448"/>
      <c r="D719" s="448"/>
      <c r="E719" s="448"/>
      <c r="F719" s="448"/>
      <c r="G719" s="448"/>
      <c r="H719" s="448"/>
      <c r="I719" s="448"/>
      <c r="J719" s="448"/>
      <c r="K719" s="448"/>
      <c r="L719" s="448"/>
      <c r="M719" s="448"/>
      <c r="N719" s="448"/>
      <c r="O719" s="448"/>
      <c r="P719" s="448"/>
      <c r="Q719" s="448"/>
      <c r="R719" s="448"/>
      <c r="S719" s="448"/>
    </row>
    <row r="720" spans="1:19" x14ac:dyDescent="0.15">
      <c r="A720" s="448"/>
      <c r="B720" s="448"/>
      <c r="C720" s="448"/>
      <c r="D720" s="448"/>
      <c r="E720" s="448"/>
      <c r="F720" s="448"/>
      <c r="G720" s="448"/>
      <c r="H720" s="448"/>
      <c r="I720" s="448"/>
      <c r="J720" s="448"/>
      <c r="K720" s="448"/>
      <c r="L720" s="448"/>
      <c r="M720" s="448"/>
      <c r="N720" s="448"/>
      <c r="O720" s="448"/>
      <c r="P720" s="448"/>
      <c r="Q720" s="448"/>
      <c r="R720" s="448"/>
      <c r="S720" s="448"/>
    </row>
    <row r="721" spans="1:19" x14ac:dyDescent="0.15">
      <c r="A721" s="448"/>
      <c r="B721" s="448"/>
      <c r="C721" s="448"/>
      <c r="D721" s="448"/>
      <c r="E721" s="448"/>
      <c r="F721" s="448"/>
      <c r="G721" s="448"/>
      <c r="H721" s="448"/>
      <c r="I721" s="448"/>
      <c r="J721" s="448"/>
      <c r="K721" s="448"/>
      <c r="L721" s="448"/>
      <c r="M721" s="448"/>
      <c r="N721" s="448"/>
      <c r="O721" s="448"/>
      <c r="P721" s="448"/>
      <c r="Q721" s="448"/>
      <c r="R721" s="448"/>
      <c r="S721" s="448"/>
    </row>
    <row r="722" spans="1:19" x14ac:dyDescent="0.15">
      <c r="A722" s="448"/>
      <c r="B722" s="448"/>
      <c r="C722" s="448"/>
      <c r="D722" s="448"/>
      <c r="E722" s="448"/>
      <c r="F722" s="448"/>
      <c r="G722" s="448"/>
      <c r="H722" s="448"/>
      <c r="I722" s="448"/>
      <c r="J722" s="448"/>
      <c r="K722" s="448"/>
      <c r="L722" s="448"/>
      <c r="M722" s="448"/>
      <c r="N722" s="448"/>
      <c r="O722" s="448"/>
      <c r="P722" s="448"/>
      <c r="Q722" s="448"/>
      <c r="R722" s="448"/>
      <c r="S722" s="448"/>
    </row>
    <row r="723" spans="1:19" x14ac:dyDescent="0.15">
      <c r="A723" s="448"/>
      <c r="B723" s="448"/>
      <c r="C723" s="448"/>
      <c r="D723" s="448"/>
      <c r="E723" s="448"/>
      <c r="F723" s="448"/>
      <c r="G723" s="448"/>
      <c r="H723" s="448"/>
      <c r="I723" s="448"/>
      <c r="J723" s="448"/>
      <c r="K723" s="448"/>
      <c r="L723" s="448"/>
      <c r="M723" s="448"/>
      <c r="N723" s="448"/>
      <c r="O723" s="448"/>
      <c r="P723" s="448"/>
      <c r="Q723" s="448"/>
      <c r="R723" s="448"/>
      <c r="S723" s="448"/>
    </row>
    <row r="724" spans="1:19" x14ac:dyDescent="0.15">
      <c r="A724" s="448"/>
      <c r="B724" s="448"/>
      <c r="C724" s="448"/>
      <c r="D724" s="448"/>
      <c r="E724" s="448"/>
      <c r="F724" s="448"/>
      <c r="G724" s="448"/>
      <c r="H724" s="448"/>
      <c r="I724" s="448"/>
      <c r="J724" s="448"/>
      <c r="K724" s="448"/>
      <c r="L724" s="448"/>
      <c r="M724" s="448"/>
      <c r="N724" s="448"/>
      <c r="O724" s="448"/>
      <c r="P724" s="448"/>
      <c r="Q724" s="448"/>
      <c r="R724" s="448"/>
      <c r="S724" s="448"/>
    </row>
    <row r="725" spans="1:19" x14ac:dyDescent="0.15">
      <c r="A725" s="448"/>
      <c r="B725" s="448"/>
      <c r="C725" s="448"/>
      <c r="D725" s="448"/>
      <c r="E725" s="448"/>
      <c r="F725" s="448"/>
      <c r="G725" s="448"/>
      <c r="H725" s="448"/>
      <c r="I725" s="448"/>
      <c r="J725" s="448"/>
      <c r="K725" s="448"/>
      <c r="L725" s="448"/>
      <c r="M725" s="448"/>
      <c r="N725" s="448"/>
      <c r="O725" s="448"/>
      <c r="P725" s="448"/>
      <c r="Q725" s="448"/>
      <c r="R725" s="448"/>
      <c r="S725" s="448"/>
    </row>
    <row r="726" spans="1:19" x14ac:dyDescent="0.15">
      <c r="A726" s="448"/>
      <c r="B726" s="448"/>
      <c r="C726" s="448"/>
      <c r="D726" s="448"/>
      <c r="E726" s="448"/>
      <c r="F726" s="448"/>
      <c r="G726" s="448"/>
      <c r="H726" s="448"/>
      <c r="I726" s="448"/>
      <c r="J726" s="448"/>
      <c r="K726" s="448"/>
      <c r="L726" s="448"/>
      <c r="M726" s="448"/>
      <c r="N726" s="448"/>
      <c r="O726" s="448"/>
      <c r="P726" s="448"/>
      <c r="Q726" s="448"/>
      <c r="R726" s="448"/>
      <c r="S726" s="448"/>
    </row>
    <row r="727" spans="1:19" x14ac:dyDescent="0.15">
      <c r="A727" s="448"/>
      <c r="B727" s="448"/>
      <c r="C727" s="448"/>
      <c r="D727" s="448"/>
      <c r="E727" s="448"/>
      <c r="F727" s="448"/>
      <c r="G727" s="448"/>
      <c r="H727" s="448"/>
      <c r="I727" s="448"/>
      <c r="J727" s="448"/>
      <c r="K727" s="448"/>
      <c r="L727" s="448"/>
      <c r="M727" s="448"/>
      <c r="N727" s="448"/>
      <c r="O727" s="448"/>
      <c r="P727" s="448"/>
      <c r="Q727" s="448"/>
      <c r="R727" s="448"/>
      <c r="S727" s="448"/>
    </row>
    <row r="728" spans="1:19" x14ac:dyDescent="0.15">
      <c r="A728" s="448"/>
      <c r="B728" s="448"/>
      <c r="C728" s="448"/>
      <c r="D728" s="448"/>
      <c r="E728" s="448"/>
      <c r="F728" s="448"/>
      <c r="G728" s="448"/>
      <c r="H728" s="448"/>
      <c r="I728" s="448"/>
      <c r="J728" s="448"/>
      <c r="K728" s="448"/>
      <c r="L728" s="448"/>
      <c r="M728" s="448"/>
      <c r="N728" s="448"/>
      <c r="O728" s="448"/>
      <c r="P728" s="448"/>
      <c r="Q728" s="448"/>
      <c r="R728" s="448"/>
      <c r="S728" s="448"/>
    </row>
    <row r="729" spans="1:19" x14ac:dyDescent="0.15">
      <c r="A729" s="448"/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</row>
    <row r="730" spans="1:19" x14ac:dyDescent="0.15">
      <c r="A730" s="448"/>
      <c r="B730" s="448"/>
      <c r="C730" s="448"/>
      <c r="D730" s="448"/>
      <c r="E730" s="448"/>
      <c r="F730" s="448"/>
      <c r="G730" s="448"/>
      <c r="H730" s="448"/>
      <c r="I730" s="448"/>
      <c r="J730" s="448"/>
      <c r="K730" s="448"/>
      <c r="L730" s="448"/>
      <c r="M730" s="448"/>
      <c r="N730" s="448"/>
      <c r="O730" s="448"/>
      <c r="P730" s="448"/>
      <c r="Q730" s="448"/>
      <c r="R730" s="448"/>
      <c r="S730" s="448"/>
    </row>
    <row r="731" spans="1:19" x14ac:dyDescent="0.15">
      <c r="A731" s="448"/>
      <c r="B731" s="448"/>
      <c r="C731" s="448"/>
      <c r="D731" s="448"/>
      <c r="E731" s="448"/>
      <c r="F731" s="448"/>
      <c r="G731" s="448"/>
      <c r="H731" s="448"/>
      <c r="I731" s="448"/>
      <c r="J731" s="448"/>
      <c r="K731" s="448"/>
      <c r="L731" s="448"/>
      <c r="M731" s="448"/>
      <c r="N731" s="448"/>
      <c r="O731" s="448"/>
      <c r="P731" s="448"/>
      <c r="Q731" s="448"/>
      <c r="R731" s="448"/>
      <c r="S731" s="448"/>
    </row>
    <row r="732" spans="1:19" x14ac:dyDescent="0.15">
      <c r="A732" s="448"/>
      <c r="B732" s="448"/>
      <c r="C732" s="448"/>
      <c r="D732" s="448"/>
      <c r="E732" s="448"/>
      <c r="F732" s="448"/>
      <c r="G732" s="448"/>
      <c r="H732" s="448"/>
      <c r="I732" s="448"/>
      <c r="J732" s="448"/>
      <c r="K732" s="448"/>
      <c r="L732" s="448"/>
      <c r="M732" s="448"/>
      <c r="N732" s="448"/>
      <c r="O732" s="448"/>
      <c r="P732" s="448"/>
      <c r="Q732" s="448"/>
      <c r="R732" s="448"/>
      <c r="S732" s="448"/>
    </row>
    <row r="733" spans="1:19" x14ac:dyDescent="0.15">
      <c r="A733" s="448"/>
      <c r="B733" s="448"/>
      <c r="C733" s="448"/>
      <c r="D733" s="448"/>
      <c r="E733" s="448"/>
      <c r="F733" s="448"/>
      <c r="G733" s="448"/>
      <c r="H733" s="448"/>
      <c r="I733" s="448"/>
      <c r="J733" s="448"/>
      <c r="K733" s="448"/>
      <c r="L733" s="448"/>
      <c r="M733" s="448"/>
      <c r="N733" s="448"/>
      <c r="O733" s="448"/>
      <c r="P733" s="448"/>
      <c r="Q733" s="448"/>
      <c r="R733" s="448"/>
      <c r="S733" s="448"/>
    </row>
    <row r="734" spans="1:19" x14ac:dyDescent="0.15">
      <c r="A734" s="448"/>
      <c r="B734" s="448"/>
      <c r="C734" s="448"/>
      <c r="D734" s="448"/>
      <c r="E734" s="448"/>
      <c r="F734" s="448"/>
      <c r="G734" s="448"/>
      <c r="H734" s="448"/>
      <c r="I734" s="448"/>
      <c r="J734" s="448"/>
      <c r="K734" s="448"/>
      <c r="L734" s="448"/>
      <c r="M734" s="448"/>
      <c r="N734" s="448"/>
      <c r="O734" s="448"/>
      <c r="P734" s="448"/>
      <c r="Q734" s="448"/>
      <c r="R734" s="448"/>
      <c r="S734" s="448"/>
    </row>
    <row r="735" spans="1:19" x14ac:dyDescent="0.15">
      <c r="A735" s="448"/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</row>
    <row r="736" spans="1:19" x14ac:dyDescent="0.15">
      <c r="A736" s="448"/>
      <c r="B736" s="448"/>
      <c r="C736" s="448"/>
      <c r="D736" s="448"/>
      <c r="E736" s="448"/>
      <c r="F736" s="448"/>
      <c r="G736" s="448"/>
      <c r="H736" s="448"/>
      <c r="I736" s="448"/>
      <c r="J736" s="448"/>
      <c r="K736" s="448"/>
      <c r="L736" s="448"/>
      <c r="M736" s="448"/>
      <c r="N736" s="448"/>
      <c r="O736" s="448"/>
      <c r="P736" s="448"/>
      <c r="Q736" s="448"/>
      <c r="R736" s="448"/>
      <c r="S736" s="448"/>
    </row>
    <row r="737" spans="1:19" x14ac:dyDescent="0.15">
      <c r="A737" s="448"/>
      <c r="B737" s="448"/>
      <c r="C737" s="448"/>
      <c r="D737" s="448"/>
      <c r="E737" s="448"/>
      <c r="F737" s="448"/>
      <c r="G737" s="448"/>
      <c r="H737" s="448"/>
      <c r="I737" s="448"/>
      <c r="J737" s="448"/>
      <c r="K737" s="448"/>
      <c r="L737" s="448"/>
      <c r="M737" s="448"/>
      <c r="N737" s="448"/>
      <c r="O737" s="448"/>
      <c r="P737" s="448"/>
      <c r="Q737" s="448"/>
      <c r="R737" s="448"/>
      <c r="S737" s="448"/>
    </row>
    <row r="738" spans="1:19" x14ac:dyDescent="0.15">
      <c r="A738" s="448"/>
      <c r="B738" s="448"/>
      <c r="C738" s="448"/>
      <c r="D738" s="448"/>
      <c r="E738" s="448"/>
      <c r="F738" s="448"/>
      <c r="G738" s="448"/>
      <c r="H738" s="448"/>
      <c r="I738" s="448"/>
      <c r="J738" s="448"/>
      <c r="K738" s="448"/>
      <c r="L738" s="448"/>
      <c r="M738" s="448"/>
      <c r="N738" s="448"/>
      <c r="O738" s="448"/>
      <c r="P738" s="448"/>
      <c r="Q738" s="448"/>
      <c r="R738" s="448"/>
      <c r="S738" s="448"/>
    </row>
    <row r="739" spans="1:19" x14ac:dyDescent="0.15">
      <c r="A739" s="448"/>
      <c r="B739" s="448"/>
      <c r="C739" s="448"/>
      <c r="D739" s="448"/>
      <c r="E739" s="448"/>
      <c r="F739" s="448"/>
      <c r="G739" s="448"/>
      <c r="H739" s="448"/>
      <c r="I739" s="448"/>
      <c r="J739" s="448"/>
      <c r="K739" s="448"/>
      <c r="L739" s="448"/>
      <c r="M739" s="448"/>
      <c r="N739" s="448"/>
      <c r="O739" s="448"/>
      <c r="P739" s="448"/>
      <c r="Q739" s="448"/>
      <c r="R739" s="448"/>
      <c r="S739" s="448"/>
    </row>
    <row r="740" spans="1:19" x14ac:dyDescent="0.15">
      <c r="A740" s="448"/>
      <c r="B740" s="448"/>
      <c r="C740" s="448"/>
      <c r="D740" s="448"/>
      <c r="E740" s="448"/>
      <c r="F740" s="448"/>
      <c r="G740" s="448"/>
      <c r="H740" s="448"/>
      <c r="I740" s="448"/>
      <c r="J740" s="448"/>
      <c r="K740" s="448"/>
      <c r="L740" s="448"/>
      <c r="M740" s="448"/>
      <c r="N740" s="448"/>
      <c r="O740" s="448"/>
      <c r="P740" s="448"/>
      <c r="Q740" s="448"/>
      <c r="R740" s="448"/>
      <c r="S740" s="448"/>
    </row>
    <row r="741" spans="1:19" x14ac:dyDescent="0.15">
      <c r="A741" s="448"/>
      <c r="B741" s="448"/>
      <c r="C741" s="448"/>
      <c r="D741" s="448"/>
      <c r="E741" s="448"/>
      <c r="F741" s="448"/>
      <c r="G741" s="448"/>
      <c r="H741" s="448"/>
      <c r="I741" s="448"/>
      <c r="J741" s="448"/>
      <c r="K741" s="448"/>
      <c r="L741" s="448"/>
      <c r="M741" s="448"/>
      <c r="N741" s="448"/>
      <c r="O741" s="448"/>
      <c r="P741" s="448"/>
      <c r="Q741" s="448"/>
      <c r="R741" s="448"/>
      <c r="S741" s="448"/>
    </row>
    <row r="742" spans="1:19" x14ac:dyDescent="0.15">
      <c r="A742" s="448"/>
      <c r="B742" s="448"/>
      <c r="C742" s="448"/>
      <c r="D742" s="448"/>
      <c r="E742" s="448"/>
      <c r="F742" s="448"/>
      <c r="G742" s="448"/>
      <c r="H742" s="448"/>
      <c r="I742" s="448"/>
      <c r="J742" s="448"/>
      <c r="K742" s="448"/>
      <c r="L742" s="448"/>
      <c r="M742" s="448"/>
      <c r="N742" s="448"/>
      <c r="O742" s="448"/>
      <c r="P742" s="448"/>
      <c r="Q742" s="448"/>
      <c r="R742" s="448"/>
      <c r="S742" s="448"/>
    </row>
    <row r="743" spans="1:19" x14ac:dyDescent="0.15">
      <c r="A743" s="448"/>
      <c r="B743" s="448"/>
      <c r="C743" s="448"/>
      <c r="D743" s="448"/>
      <c r="E743" s="448"/>
      <c r="F743" s="448"/>
      <c r="G743" s="448"/>
      <c r="H743" s="448"/>
      <c r="I743" s="448"/>
      <c r="J743" s="448"/>
      <c r="K743" s="448"/>
      <c r="L743" s="448"/>
      <c r="M743" s="448"/>
      <c r="N743" s="448"/>
      <c r="O743" s="448"/>
      <c r="P743" s="448"/>
      <c r="Q743" s="448"/>
      <c r="R743" s="448"/>
      <c r="S743" s="448"/>
    </row>
    <row r="744" spans="1:19" x14ac:dyDescent="0.15">
      <c r="A744" s="448"/>
      <c r="B744" s="448"/>
      <c r="C744" s="448"/>
      <c r="D744" s="448"/>
      <c r="E744" s="448"/>
      <c r="F744" s="448"/>
      <c r="G744" s="448"/>
      <c r="H744" s="448"/>
      <c r="I744" s="448"/>
      <c r="J744" s="448"/>
      <c r="K744" s="448"/>
      <c r="L744" s="448"/>
      <c r="M744" s="448"/>
      <c r="N744" s="448"/>
      <c r="O744" s="448"/>
      <c r="P744" s="448"/>
      <c r="Q744" s="448"/>
      <c r="R744" s="448"/>
      <c r="S744" s="448"/>
    </row>
    <row r="745" spans="1:19" x14ac:dyDescent="0.15">
      <c r="A745" s="448"/>
      <c r="B745" s="448"/>
      <c r="C745" s="448"/>
      <c r="D745" s="448"/>
      <c r="E745" s="448"/>
      <c r="F745" s="448"/>
      <c r="G745" s="448"/>
      <c r="H745" s="448"/>
      <c r="I745" s="448"/>
      <c r="J745" s="448"/>
      <c r="K745" s="448"/>
      <c r="L745" s="448"/>
      <c r="M745" s="448"/>
      <c r="N745" s="448"/>
      <c r="O745" s="448"/>
      <c r="P745" s="448"/>
      <c r="Q745" s="448"/>
      <c r="R745" s="448"/>
      <c r="S745" s="448"/>
    </row>
    <row r="746" spans="1:19" x14ac:dyDescent="0.15">
      <c r="A746" s="448"/>
      <c r="B746" s="448"/>
      <c r="C746" s="448"/>
      <c r="D746" s="448"/>
      <c r="E746" s="448"/>
      <c r="F746" s="448"/>
      <c r="G746" s="448"/>
      <c r="H746" s="448"/>
      <c r="I746" s="448"/>
      <c r="J746" s="448"/>
      <c r="K746" s="448"/>
      <c r="L746" s="448"/>
      <c r="M746" s="448"/>
      <c r="N746" s="448"/>
      <c r="O746" s="448"/>
      <c r="P746" s="448"/>
      <c r="Q746" s="448"/>
      <c r="R746" s="448"/>
      <c r="S746" s="448"/>
    </row>
    <row r="747" spans="1:19" x14ac:dyDescent="0.15">
      <c r="A747" s="448"/>
      <c r="B747" s="448"/>
      <c r="C747" s="448"/>
      <c r="D747" s="448"/>
      <c r="E747" s="448"/>
      <c r="F747" s="448"/>
      <c r="G747" s="448"/>
      <c r="H747" s="448"/>
      <c r="I747" s="448"/>
      <c r="J747" s="448"/>
      <c r="K747" s="448"/>
      <c r="L747" s="448"/>
      <c r="M747" s="448"/>
      <c r="N747" s="448"/>
      <c r="O747" s="448"/>
      <c r="P747" s="448"/>
      <c r="Q747" s="448"/>
      <c r="R747" s="448"/>
      <c r="S747" s="448"/>
    </row>
    <row r="748" spans="1:19" x14ac:dyDescent="0.15">
      <c r="A748" s="448"/>
      <c r="B748" s="448"/>
      <c r="C748" s="448"/>
      <c r="D748" s="448"/>
      <c r="E748" s="448"/>
      <c r="F748" s="448"/>
      <c r="G748" s="448"/>
      <c r="H748" s="448"/>
      <c r="I748" s="448"/>
      <c r="J748" s="448"/>
      <c r="K748" s="448"/>
      <c r="L748" s="448"/>
      <c r="M748" s="448"/>
      <c r="N748" s="448"/>
      <c r="O748" s="448"/>
      <c r="P748" s="448"/>
      <c r="Q748" s="448"/>
      <c r="R748" s="448"/>
      <c r="S748" s="448"/>
    </row>
    <row r="749" spans="1:19" x14ac:dyDescent="0.15">
      <c r="A749" s="448"/>
      <c r="B749" s="448"/>
      <c r="C749" s="448"/>
      <c r="D749" s="448"/>
      <c r="E749" s="448"/>
      <c r="F749" s="448"/>
      <c r="G749" s="448"/>
      <c r="H749" s="448"/>
      <c r="I749" s="448"/>
      <c r="J749" s="448"/>
      <c r="K749" s="448"/>
      <c r="L749" s="448"/>
      <c r="M749" s="448"/>
      <c r="N749" s="448"/>
      <c r="O749" s="448"/>
      <c r="P749" s="448"/>
      <c r="Q749" s="448"/>
      <c r="R749" s="448"/>
      <c r="S749" s="448"/>
    </row>
    <row r="750" spans="1:19" x14ac:dyDescent="0.15">
      <c r="A750" s="448"/>
      <c r="B750" s="448"/>
      <c r="C750" s="448"/>
      <c r="D750" s="448"/>
      <c r="E750" s="448"/>
      <c r="F750" s="448"/>
      <c r="G750" s="448"/>
      <c r="H750" s="448"/>
      <c r="I750" s="448"/>
      <c r="J750" s="448"/>
      <c r="K750" s="448"/>
      <c r="L750" s="448"/>
      <c r="M750" s="448"/>
      <c r="N750" s="448"/>
      <c r="O750" s="448"/>
      <c r="P750" s="448"/>
      <c r="Q750" s="448"/>
      <c r="R750" s="448"/>
      <c r="S750" s="448"/>
    </row>
    <row r="751" spans="1:19" x14ac:dyDescent="0.15">
      <c r="A751" s="448"/>
      <c r="B751" s="448"/>
      <c r="C751" s="448"/>
      <c r="D751" s="448"/>
      <c r="E751" s="448"/>
      <c r="F751" s="448"/>
      <c r="G751" s="448"/>
      <c r="H751" s="448"/>
      <c r="I751" s="448"/>
      <c r="J751" s="448"/>
      <c r="K751" s="448"/>
      <c r="L751" s="448"/>
      <c r="M751" s="448"/>
      <c r="N751" s="448"/>
      <c r="O751" s="448"/>
      <c r="P751" s="448"/>
      <c r="Q751" s="448"/>
      <c r="R751" s="448"/>
      <c r="S751" s="448"/>
    </row>
    <row r="752" spans="1:19" x14ac:dyDescent="0.15">
      <c r="A752" s="448"/>
      <c r="B752" s="448"/>
      <c r="C752" s="448"/>
      <c r="D752" s="448"/>
      <c r="E752" s="448"/>
      <c r="F752" s="448"/>
      <c r="G752" s="448"/>
      <c r="H752" s="448"/>
      <c r="I752" s="448"/>
      <c r="J752" s="448"/>
      <c r="K752" s="448"/>
      <c r="L752" s="448"/>
      <c r="M752" s="448"/>
      <c r="N752" s="448"/>
      <c r="O752" s="448"/>
      <c r="P752" s="448"/>
      <c r="Q752" s="448"/>
      <c r="R752" s="448"/>
      <c r="S752" s="448"/>
    </row>
    <row r="753" spans="1:19" x14ac:dyDescent="0.15">
      <c r="A753" s="448"/>
      <c r="B753" s="448"/>
      <c r="C753" s="448"/>
      <c r="D753" s="448"/>
      <c r="E753" s="448"/>
      <c r="F753" s="448"/>
      <c r="G753" s="448"/>
      <c r="H753" s="448"/>
      <c r="I753" s="448"/>
      <c r="J753" s="448"/>
      <c r="K753" s="448"/>
      <c r="L753" s="448"/>
      <c r="M753" s="448"/>
      <c r="N753" s="448"/>
      <c r="O753" s="448"/>
      <c r="P753" s="448"/>
      <c r="Q753" s="448"/>
      <c r="R753" s="448"/>
      <c r="S753" s="448"/>
    </row>
    <row r="754" spans="1:19" x14ac:dyDescent="0.15">
      <c r="A754" s="448"/>
      <c r="B754" s="448"/>
      <c r="C754" s="448"/>
      <c r="D754" s="448"/>
      <c r="E754" s="448"/>
      <c r="F754" s="448"/>
      <c r="G754" s="448"/>
      <c r="H754" s="448"/>
      <c r="I754" s="448"/>
      <c r="J754" s="448"/>
      <c r="K754" s="448"/>
      <c r="L754" s="448"/>
      <c r="M754" s="448"/>
      <c r="N754" s="448"/>
      <c r="O754" s="448"/>
      <c r="P754" s="448"/>
      <c r="Q754" s="448"/>
      <c r="R754" s="448"/>
      <c r="S754" s="448"/>
    </row>
    <row r="755" spans="1:19" x14ac:dyDescent="0.15">
      <c r="A755" s="448"/>
      <c r="B755" s="448"/>
      <c r="C755" s="448"/>
      <c r="D755" s="448"/>
      <c r="E755" s="448"/>
      <c r="F755" s="448"/>
      <c r="G755" s="448"/>
      <c r="H755" s="448"/>
      <c r="I755" s="448"/>
      <c r="J755" s="448"/>
      <c r="K755" s="448"/>
      <c r="L755" s="448"/>
      <c r="M755" s="448"/>
      <c r="N755" s="448"/>
      <c r="O755" s="448"/>
      <c r="P755" s="448"/>
      <c r="Q755" s="448"/>
      <c r="R755" s="448"/>
      <c r="S755" s="448"/>
    </row>
    <row r="756" spans="1:19" x14ac:dyDescent="0.15">
      <c r="A756" s="448"/>
      <c r="B756" s="448"/>
      <c r="C756" s="448"/>
      <c r="D756" s="448"/>
      <c r="E756" s="448"/>
      <c r="F756" s="448"/>
      <c r="G756" s="448"/>
      <c r="H756" s="448"/>
      <c r="I756" s="448"/>
      <c r="J756" s="448"/>
      <c r="K756" s="448"/>
      <c r="L756" s="448"/>
      <c r="M756" s="448"/>
      <c r="N756" s="448"/>
      <c r="O756" s="448"/>
      <c r="P756" s="448"/>
      <c r="Q756" s="448"/>
      <c r="R756" s="448"/>
      <c r="S756" s="448"/>
    </row>
    <row r="757" spans="1:19" x14ac:dyDescent="0.15">
      <c r="A757" s="448"/>
      <c r="B757" s="448"/>
      <c r="C757" s="448"/>
      <c r="D757" s="448"/>
      <c r="E757" s="448"/>
      <c r="F757" s="448"/>
      <c r="G757" s="448"/>
      <c r="H757" s="448"/>
      <c r="I757" s="448"/>
      <c r="J757" s="448"/>
      <c r="K757" s="448"/>
      <c r="L757" s="448"/>
      <c r="M757" s="448"/>
      <c r="N757" s="448"/>
      <c r="O757" s="448"/>
      <c r="P757" s="448"/>
      <c r="Q757" s="448"/>
      <c r="R757" s="448"/>
      <c r="S757" s="448"/>
    </row>
    <row r="758" spans="1:19" x14ac:dyDescent="0.15">
      <c r="A758" s="448"/>
      <c r="B758" s="448"/>
      <c r="C758" s="448"/>
      <c r="D758" s="448"/>
      <c r="E758" s="448"/>
      <c r="F758" s="448"/>
      <c r="G758" s="448"/>
      <c r="H758" s="448"/>
      <c r="I758" s="448"/>
      <c r="J758" s="448"/>
      <c r="K758" s="448"/>
      <c r="L758" s="448"/>
      <c r="M758" s="448"/>
      <c r="N758" s="448"/>
      <c r="O758" s="448"/>
      <c r="P758" s="448"/>
      <c r="Q758" s="448"/>
      <c r="R758" s="448"/>
      <c r="S758" s="448"/>
    </row>
    <row r="759" spans="1:19" x14ac:dyDescent="0.15">
      <c r="A759" s="448"/>
      <c r="B759" s="448"/>
      <c r="C759" s="448"/>
      <c r="D759" s="448"/>
      <c r="E759" s="448"/>
      <c r="F759" s="448"/>
      <c r="G759" s="448"/>
      <c r="H759" s="448"/>
      <c r="I759" s="448"/>
      <c r="J759" s="448"/>
      <c r="K759" s="448"/>
      <c r="L759" s="448"/>
      <c r="M759" s="448"/>
      <c r="N759" s="448"/>
      <c r="O759" s="448"/>
      <c r="P759" s="448"/>
      <c r="Q759" s="448"/>
      <c r="R759" s="448"/>
      <c r="S759" s="448"/>
    </row>
    <row r="760" spans="1:19" x14ac:dyDescent="0.15">
      <c r="A760" s="448"/>
      <c r="B760" s="448"/>
      <c r="C760" s="448"/>
      <c r="D760" s="448"/>
      <c r="E760" s="448"/>
      <c r="F760" s="448"/>
      <c r="G760" s="448"/>
      <c r="H760" s="448"/>
      <c r="I760" s="448"/>
      <c r="J760" s="448"/>
      <c r="K760" s="448"/>
      <c r="L760" s="448"/>
      <c r="M760" s="448"/>
      <c r="N760" s="448"/>
      <c r="O760" s="448"/>
      <c r="P760" s="448"/>
      <c r="Q760" s="448"/>
      <c r="R760" s="448"/>
      <c r="S760" s="448"/>
    </row>
    <row r="761" spans="1:19" x14ac:dyDescent="0.15">
      <c r="A761" s="448"/>
      <c r="B761" s="448"/>
      <c r="C761" s="448"/>
      <c r="D761" s="448"/>
      <c r="E761" s="448"/>
      <c r="F761" s="448"/>
      <c r="G761" s="448"/>
      <c r="H761" s="448"/>
      <c r="I761" s="448"/>
      <c r="J761" s="448"/>
      <c r="K761" s="448"/>
      <c r="L761" s="448"/>
      <c r="M761" s="448"/>
      <c r="N761" s="448"/>
      <c r="O761" s="448"/>
      <c r="P761" s="448"/>
      <c r="Q761" s="448"/>
      <c r="R761" s="448"/>
      <c r="S761" s="448"/>
    </row>
    <row r="762" spans="1:19" x14ac:dyDescent="0.15">
      <c r="A762" s="448"/>
      <c r="B762" s="448"/>
      <c r="C762" s="448"/>
      <c r="D762" s="448"/>
      <c r="E762" s="448"/>
      <c r="F762" s="448"/>
      <c r="G762" s="448"/>
      <c r="H762" s="448"/>
      <c r="I762" s="448"/>
      <c r="J762" s="448"/>
      <c r="K762" s="448"/>
      <c r="L762" s="448"/>
      <c r="M762" s="448"/>
      <c r="N762" s="448"/>
      <c r="O762" s="448"/>
      <c r="P762" s="448"/>
      <c r="Q762" s="448"/>
      <c r="R762" s="448"/>
      <c r="S762" s="448"/>
    </row>
    <row r="763" spans="1:19" x14ac:dyDescent="0.15">
      <c r="A763" s="448"/>
      <c r="B763" s="448"/>
      <c r="C763" s="448"/>
      <c r="D763" s="448"/>
      <c r="E763" s="448"/>
      <c r="F763" s="448"/>
      <c r="G763" s="448"/>
      <c r="H763" s="448"/>
      <c r="I763" s="448"/>
      <c r="J763" s="448"/>
      <c r="K763" s="448"/>
      <c r="L763" s="448"/>
      <c r="M763" s="448"/>
      <c r="N763" s="448"/>
      <c r="O763" s="448"/>
      <c r="P763" s="448"/>
      <c r="Q763" s="448"/>
      <c r="R763" s="448"/>
      <c r="S763" s="448"/>
    </row>
    <row r="764" spans="1:19" x14ac:dyDescent="0.15">
      <c r="A764" s="448"/>
      <c r="B764" s="448"/>
      <c r="C764" s="448"/>
      <c r="D764" s="448"/>
      <c r="E764" s="448"/>
      <c r="F764" s="448"/>
      <c r="G764" s="448"/>
      <c r="H764" s="448"/>
      <c r="I764" s="448"/>
      <c r="J764" s="448"/>
      <c r="K764" s="448"/>
      <c r="L764" s="448"/>
      <c r="M764" s="448"/>
      <c r="N764" s="448"/>
      <c r="O764" s="448"/>
      <c r="P764" s="448"/>
      <c r="Q764" s="448"/>
      <c r="R764" s="448"/>
      <c r="S764" s="448"/>
    </row>
    <row r="765" spans="1:19" x14ac:dyDescent="0.15">
      <c r="A765" s="448"/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</row>
    <row r="766" spans="1:19" x14ac:dyDescent="0.15">
      <c r="A766" s="448"/>
      <c r="B766" s="448"/>
      <c r="C766" s="448"/>
      <c r="D766" s="448"/>
      <c r="E766" s="448"/>
      <c r="F766" s="448"/>
      <c r="G766" s="448"/>
      <c r="H766" s="448"/>
      <c r="I766" s="448"/>
      <c r="J766" s="448"/>
      <c r="K766" s="448"/>
      <c r="L766" s="448"/>
      <c r="M766" s="448"/>
      <c r="N766" s="448"/>
      <c r="O766" s="448"/>
      <c r="P766" s="448"/>
      <c r="Q766" s="448"/>
      <c r="R766" s="448"/>
      <c r="S766" s="448"/>
    </row>
    <row r="767" spans="1:19" x14ac:dyDescent="0.15">
      <c r="A767" s="448"/>
      <c r="B767" s="448"/>
      <c r="C767" s="448"/>
      <c r="D767" s="448"/>
      <c r="E767" s="448"/>
      <c r="F767" s="448"/>
      <c r="G767" s="448"/>
      <c r="H767" s="448"/>
      <c r="I767" s="448"/>
      <c r="J767" s="448"/>
      <c r="K767" s="448"/>
      <c r="L767" s="448"/>
      <c r="M767" s="448"/>
      <c r="N767" s="448"/>
      <c r="O767" s="448"/>
      <c r="P767" s="448"/>
      <c r="Q767" s="448"/>
      <c r="R767" s="448"/>
      <c r="S767" s="448"/>
    </row>
    <row r="768" spans="1:19" x14ac:dyDescent="0.15">
      <c r="A768" s="448"/>
      <c r="B768" s="448"/>
      <c r="C768" s="448"/>
      <c r="D768" s="448"/>
      <c r="E768" s="448"/>
      <c r="F768" s="448"/>
      <c r="G768" s="448"/>
      <c r="H768" s="448"/>
      <c r="I768" s="448"/>
      <c r="J768" s="448"/>
      <c r="K768" s="448"/>
      <c r="L768" s="448"/>
      <c r="M768" s="448"/>
      <c r="N768" s="448"/>
      <c r="O768" s="448"/>
      <c r="P768" s="448"/>
      <c r="Q768" s="448"/>
      <c r="R768" s="448"/>
      <c r="S768" s="448"/>
    </row>
    <row r="769" spans="1:19" x14ac:dyDescent="0.15">
      <c r="A769" s="448"/>
      <c r="B769" s="448"/>
      <c r="C769" s="448"/>
      <c r="D769" s="448"/>
      <c r="E769" s="448"/>
      <c r="F769" s="448"/>
      <c r="G769" s="448"/>
      <c r="H769" s="448"/>
      <c r="I769" s="448"/>
      <c r="J769" s="448"/>
      <c r="K769" s="448"/>
      <c r="L769" s="448"/>
      <c r="M769" s="448"/>
      <c r="N769" s="448"/>
      <c r="O769" s="448"/>
      <c r="P769" s="448"/>
      <c r="Q769" s="448"/>
      <c r="R769" s="448"/>
      <c r="S769" s="448"/>
    </row>
    <row r="770" spans="1:19" x14ac:dyDescent="0.15">
      <c r="A770" s="448"/>
      <c r="B770" s="448"/>
      <c r="C770" s="448"/>
      <c r="D770" s="448"/>
      <c r="E770" s="448"/>
      <c r="F770" s="448"/>
      <c r="G770" s="448"/>
      <c r="H770" s="448"/>
      <c r="I770" s="448"/>
      <c r="J770" s="448"/>
      <c r="K770" s="448"/>
      <c r="L770" s="448"/>
      <c r="M770" s="448"/>
      <c r="N770" s="448"/>
      <c r="O770" s="448"/>
      <c r="P770" s="448"/>
      <c r="Q770" s="448"/>
      <c r="R770" s="448"/>
      <c r="S770" s="448"/>
    </row>
    <row r="771" spans="1:19" x14ac:dyDescent="0.15">
      <c r="A771" s="448"/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</row>
    <row r="772" spans="1:19" x14ac:dyDescent="0.15">
      <c r="A772" s="448"/>
      <c r="B772" s="448"/>
      <c r="C772" s="448"/>
      <c r="D772" s="448"/>
      <c r="E772" s="448"/>
      <c r="F772" s="448"/>
      <c r="G772" s="448"/>
      <c r="H772" s="448"/>
      <c r="I772" s="448"/>
      <c r="J772" s="448"/>
      <c r="K772" s="448"/>
      <c r="L772" s="448"/>
      <c r="M772" s="448"/>
      <c r="N772" s="448"/>
      <c r="O772" s="448"/>
      <c r="P772" s="448"/>
      <c r="Q772" s="448"/>
      <c r="R772" s="448"/>
      <c r="S772" s="448"/>
    </row>
    <row r="773" spans="1:19" x14ac:dyDescent="0.15">
      <c r="A773" s="448"/>
      <c r="B773" s="448"/>
      <c r="C773" s="448"/>
      <c r="D773" s="448"/>
      <c r="E773" s="448"/>
      <c r="F773" s="448"/>
      <c r="G773" s="448"/>
      <c r="H773" s="448"/>
      <c r="I773" s="448"/>
      <c r="J773" s="448"/>
      <c r="K773" s="448"/>
      <c r="L773" s="448"/>
      <c r="M773" s="448"/>
      <c r="N773" s="448"/>
      <c r="O773" s="448"/>
      <c r="P773" s="448"/>
      <c r="Q773" s="448"/>
      <c r="R773" s="448"/>
      <c r="S773" s="448"/>
    </row>
    <row r="774" spans="1:19" x14ac:dyDescent="0.15">
      <c r="A774" s="448"/>
      <c r="B774" s="448"/>
      <c r="C774" s="448"/>
      <c r="D774" s="448"/>
      <c r="E774" s="448"/>
      <c r="F774" s="448"/>
      <c r="G774" s="448"/>
      <c r="H774" s="448"/>
      <c r="I774" s="448"/>
      <c r="J774" s="448"/>
      <c r="K774" s="448"/>
      <c r="L774" s="448"/>
      <c r="M774" s="448"/>
      <c r="N774" s="448"/>
      <c r="O774" s="448"/>
      <c r="P774" s="448"/>
      <c r="Q774" s="448"/>
      <c r="R774" s="448"/>
      <c r="S774" s="448"/>
    </row>
    <row r="775" spans="1:19" x14ac:dyDescent="0.15">
      <c r="A775" s="448"/>
      <c r="B775" s="448"/>
      <c r="C775" s="448"/>
      <c r="D775" s="448"/>
      <c r="E775" s="448"/>
      <c r="F775" s="448"/>
      <c r="G775" s="448"/>
      <c r="H775" s="448"/>
      <c r="I775" s="448"/>
      <c r="J775" s="448"/>
      <c r="K775" s="448"/>
      <c r="L775" s="448"/>
      <c r="M775" s="448"/>
      <c r="N775" s="448"/>
      <c r="O775" s="448"/>
      <c r="P775" s="448"/>
      <c r="Q775" s="448"/>
      <c r="R775" s="448"/>
      <c r="S775" s="448"/>
    </row>
    <row r="776" spans="1:19" x14ac:dyDescent="0.15">
      <c r="A776" s="448"/>
      <c r="B776" s="448"/>
      <c r="C776" s="448"/>
      <c r="D776" s="448"/>
      <c r="E776" s="448"/>
      <c r="F776" s="448"/>
      <c r="G776" s="448"/>
      <c r="H776" s="448"/>
      <c r="I776" s="448"/>
      <c r="J776" s="448"/>
      <c r="K776" s="448"/>
      <c r="L776" s="448"/>
      <c r="M776" s="448"/>
      <c r="N776" s="448"/>
      <c r="O776" s="448"/>
      <c r="P776" s="448"/>
      <c r="Q776" s="448"/>
      <c r="R776" s="448"/>
      <c r="S776" s="448"/>
    </row>
    <row r="777" spans="1:19" x14ac:dyDescent="0.15">
      <c r="A777" s="448"/>
      <c r="B777" s="448"/>
      <c r="C777" s="448"/>
      <c r="D777" s="448"/>
      <c r="E777" s="448"/>
      <c r="F777" s="448"/>
      <c r="G777" s="448"/>
      <c r="H777" s="448"/>
      <c r="I777" s="448"/>
      <c r="J777" s="448"/>
      <c r="K777" s="448"/>
      <c r="L777" s="448"/>
      <c r="M777" s="448"/>
      <c r="N777" s="448"/>
      <c r="O777" s="448"/>
      <c r="P777" s="448"/>
      <c r="Q777" s="448"/>
      <c r="R777" s="448"/>
      <c r="S777" s="448"/>
    </row>
    <row r="778" spans="1:19" x14ac:dyDescent="0.15">
      <c r="A778" s="448"/>
      <c r="B778" s="448"/>
      <c r="C778" s="448"/>
      <c r="D778" s="448"/>
      <c r="E778" s="448"/>
      <c r="F778" s="448"/>
      <c r="G778" s="448"/>
      <c r="H778" s="448"/>
      <c r="I778" s="448"/>
      <c r="J778" s="448"/>
      <c r="K778" s="448"/>
      <c r="L778" s="448"/>
      <c r="M778" s="448"/>
      <c r="N778" s="448"/>
      <c r="O778" s="448"/>
      <c r="P778" s="448"/>
      <c r="Q778" s="448"/>
      <c r="R778" s="448"/>
      <c r="S778" s="448"/>
    </row>
    <row r="779" spans="1:19" x14ac:dyDescent="0.15">
      <c r="A779" s="448"/>
      <c r="B779" s="448"/>
      <c r="C779" s="448"/>
      <c r="D779" s="448"/>
      <c r="E779" s="448"/>
      <c r="F779" s="448"/>
      <c r="G779" s="448"/>
      <c r="H779" s="448"/>
      <c r="I779" s="448"/>
      <c r="J779" s="448"/>
      <c r="K779" s="448"/>
      <c r="L779" s="448"/>
      <c r="M779" s="448"/>
      <c r="N779" s="448"/>
      <c r="O779" s="448"/>
      <c r="P779" s="448"/>
      <c r="Q779" s="448"/>
      <c r="R779" s="448"/>
      <c r="S779" s="448"/>
    </row>
    <row r="780" spans="1:19" x14ac:dyDescent="0.15">
      <c r="A780" s="448"/>
      <c r="B780" s="448"/>
      <c r="C780" s="448"/>
      <c r="D780" s="448"/>
      <c r="E780" s="448"/>
      <c r="F780" s="448"/>
      <c r="G780" s="448"/>
      <c r="H780" s="448"/>
      <c r="I780" s="448"/>
      <c r="J780" s="448"/>
      <c r="K780" s="448"/>
      <c r="L780" s="448"/>
      <c r="M780" s="448"/>
      <c r="N780" s="448"/>
      <c r="O780" s="448"/>
      <c r="P780" s="448"/>
      <c r="Q780" s="448"/>
      <c r="R780" s="448"/>
      <c r="S780" s="448"/>
    </row>
    <row r="781" spans="1:19" x14ac:dyDescent="0.15">
      <c r="A781" s="448"/>
      <c r="B781" s="448"/>
      <c r="C781" s="448"/>
      <c r="D781" s="448"/>
      <c r="E781" s="448"/>
      <c r="F781" s="448"/>
      <c r="G781" s="448"/>
      <c r="H781" s="448"/>
      <c r="I781" s="448"/>
      <c r="J781" s="448"/>
      <c r="K781" s="448"/>
      <c r="L781" s="448"/>
      <c r="M781" s="448"/>
      <c r="N781" s="448"/>
      <c r="O781" s="448"/>
      <c r="P781" s="448"/>
      <c r="Q781" s="448"/>
      <c r="R781" s="448"/>
      <c r="S781" s="448"/>
    </row>
    <row r="782" spans="1:19" x14ac:dyDescent="0.15">
      <c r="A782" s="448"/>
      <c r="B782" s="448"/>
      <c r="C782" s="448"/>
      <c r="D782" s="448"/>
      <c r="E782" s="448"/>
      <c r="F782" s="448"/>
      <c r="G782" s="448"/>
      <c r="H782" s="448"/>
      <c r="I782" s="448"/>
      <c r="J782" s="448"/>
      <c r="K782" s="448"/>
      <c r="L782" s="448"/>
      <c r="M782" s="448"/>
      <c r="N782" s="448"/>
      <c r="O782" s="448"/>
      <c r="P782" s="448"/>
      <c r="Q782" s="448"/>
      <c r="R782" s="448"/>
      <c r="S782" s="448"/>
    </row>
    <row r="783" spans="1:19" x14ac:dyDescent="0.15">
      <c r="A783" s="448"/>
      <c r="B783" s="448"/>
      <c r="C783" s="448"/>
      <c r="D783" s="448"/>
      <c r="E783" s="448"/>
      <c r="F783" s="448"/>
      <c r="G783" s="448"/>
      <c r="H783" s="448"/>
      <c r="I783" s="448"/>
      <c r="J783" s="448"/>
      <c r="K783" s="448"/>
      <c r="L783" s="448"/>
      <c r="M783" s="448"/>
      <c r="N783" s="448"/>
      <c r="O783" s="448"/>
      <c r="P783" s="448"/>
      <c r="Q783" s="448"/>
      <c r="R783" s="448"/>
      <c r="S783" s="448"/>
    </row>
    <row r="784" spans="1:19" x14ac:dyDescent="0.15">
      <c r="A784" s="448"/>
      <c r="B784" s="448"/>
      <c r="C784" s="448"/>
      <c r="D784" s="448"/>
      <c r="E784" s="448"/>
      <c r="F784" s="448"/>
      <c r="G784" s="448"/>
      <c r="H784" s="448"/>
      <c r="I784" s="448"/>
      <c r="J784" s="448"/>
      <c r="K784" s="448"/>
      <c r="L784" s="448"/>
      <c r="M784" s="448"/>
      <c r="N784" s="448"/>
      <c r="O784" s="448"/>
      <c r="P784" s="448"/>
      <c r="Q784" s="448"/>
      <c r="R784" s="448"/>
      <c r="S784" s="448"/>
    </row>
    <row r="785" spans="1:19" x14ac:dyDescent="0.15">
      <c r="A785" s="448"/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</row>
    <row r="786" spans="1:19" x14ac:dyDescent="0.15">
      <c r="A786" s="448"/>
      <c r="B786" s="448"/>
      <c r="C786" s="448"/>
      <c r="D786" s="448"/>
      <c r="E786" s="448"/>
      <c r="F786" s="448"/>
      <c r="G786" s="448"/>
      <c r="H786" s="448"/>
      <c r="I786" s="448"/>
      <c r="J786" s="448"/>
      <c r="K786" s="448"/>
      <c r="L786" s="448"/>
      <c r="M786" s="448"/>
      <c r="N786" s="448"/>
      <c r="O786" s="448"/>
      <c r="P786" s="448"/>
      <c r="Q786" s="448"/>
      <c r="R786" s="448"/>
      <c r="S786" s="448"/>
    </row>
    <row r="787" spans="1:19" x14ac:dyDescent="0.15">
      <c r="A787" s="448"/>
      <c r="B787" s="448"/>
      <c r="C787" s="448"/>
      <c r="D787" s="448"/>
      <c r="E787" s="448"/>
      <c r="F787" s="448"/>
      <c r="G787" s="448"/>
      <c r="H787" s="448"/>
      <c r="I787" s="448"/>
      <c r="J787" s="448"/>
      <c r="K787" s="448"/>
      <c r="L787" s="448"/>
      <c r="M787" s="448"/>
      <c r="N787" s="448"/>
      <c r="O787" s="448"/>
      <c r="P787" s="448"/>
      <c r="Q787" s="448"/>
      <c r="R787" s="448"/>
      <c r="S787" s="448"/>
    </row>
    <row r="788" spans="1:19" x14ac:dyDescent="0.15">
      <c r="A788" s="448"/>
      <c r="B788" s="448"/>
      <c r="C788" s="448"/>
      <c r="D788" s="448"/>
      <c r="E788" s="448"/>
      <c r="F788" s="448"/>
      <c r="G788" s="448"/>
      <c r="H788" s="448"/>
      <c r="I788" s="448"/>
      <c r="J788" s="448"/>
      <c r="K788" s="448"/>
      <c r="L788" s="448"/>
      <c r="M788" s="448"/>
      <c r="N788" s="448"/>
      <c r="O788" s="448"/>
      <c r="P788" s="448"/>
      <c r="Q788" s="448"/>
      <c r="R788" s="448"/>
      <c r="S788" s="448"/>
    </row>
    <row r="789" spans="1:19" x14ac:dyDescent="0.15">
      <c r="A789" s="448"/>
      <c r="B789" s="448"/>
      <c r="C789" s="448"/>
      <c r="D789" s="448"/>
      <c r="E789" s="448"/>
      <c r="F789" s="448"/>
      <c r="G789" s="448"/>
      <c r="H789" s="448"/>
      <c r="I789" s="448"/>
      <c r="J789" s="448"/>
      <c r="K789" s="448"/>
      <c r="L789" s="448"/>
      <c r="M789" s="448"/>
      <c r="N789" s="448"/>
      <c r="O789" s="448"/>
      <c r="P789" s="448"/>
      <c r="Q789" s="448"/>
      <c r="R789" s="448"/>
      <c r="S789" s="448"/>
    </row>
    <row r="790" spans="1:19" x14ac:dyDescent="0.15">
      <c r="A790" s="448"/>
      <c r="B790" s="448"/>
      <c r="C790" s="448"/>
      <c r="D790" s="448"/>
      <c r="E790" s="448"/>
      <c r="F790" s="448"/>
      <c r="G790" s="448"/>
      <c r="H790" s="448"/>
      <c r="I790" s="448"/>
      <c r="J790" s="448"/>
      <c r="K790" s="448"/>
      <c r="L790" s="448"/>
      <c r="M790" s="448"/>
      <c r="N790" s="448"/>
      <c r="O790" s="448"/>
      <c r="P790" s="448"/>
      <c r="Q790" s="448"/>
      <c r="R790" s="448"/>
      <c r="S790" s="448"/>
    </row>
    <row r="791" spans="1:19" x14ac:dyDescent="0.15">
      <c r="A791" s="448"/>
      <c r="B791" s="448"/>
      <c r="C791" s="448"/>
      <c r="D791" s="448"/>
      <c r="E791" s="448"/>
      <c r="F791" s="448"/>
      <c r="G791" s="448"/>
      <c r="H791" s="448"/>
      <c r="I791" s="448"/>
      <c r="J791" s="448"/>
      <c r="K791" s="448"/>
      <c r="L791" s="448"/>
      <c r="M791" s="448"/>
      <c r="N791" s="448"/>
      <c r="O791" s="448"/>
      <c r="P791" s="448"/>
      <c r="Q791" s="448"/>
      <c r="R791" s="448"/>
      <c r="S791" s="448"/>
    </row>
    <row r="792" spans="1:19" x14ac:dyDescent="0.15">
      <c r="A792" s="448"/>
      <c r="B792" s="448"/>
      <c r="C792" s="448"/>
      <c r="D792" s="448"/>
      <c r="E792" s="448"/>
      <c r="F792" s="448"/>
      <c r="G792" s="448"/>
      <c r="H792" s="448"/>
      <c r="I792" s="448"/>
      <c r="J792" s="448"/>
      <c r="K792" s="448"/>
      <c r="L792" s="448"/>
      <c r="M792" s="448"/>
      <c r="N792" s="448"/>
      <c r="O792" s="448"/>
      <c r="P792" s="448"/>
      <c r="Q792" s="448"/>
      <c r="R792" s="448"/>
      <c r="S792" s="448"/>
    </row>
    <row r="793" spans="1:19" x14ac:dyDescent="0.15">
      <c r="A793" s="448"/>
      <c r="B793" s="448"/>
      <c r="C793" s="448"/>
      <c r="D793" s="448"/>
      <c r="E793" s="448"/>
      <c r="F793" s="448"/>
      <c r="G793" s="448"/>
      <c r="H793" s="448"/>
      <c r="I793" s="448"/>
      <c r="J793" s="448"/>
      <c r="K793" s="448"/>
      <c r="L793" s="448"/>
      <c r="M793" s="448"/>
      <c r="N793" s="448"/>
      <c r="O793" s="448"/>
      <c r="P793" s="448"/>
      <c r="Q793" s="448"/>
      <c r="R793" s="448"/>
      <c r="S793" s="448"/>
    </row>
    <row r="794" spans="1:19" x14ac:dyDescent="0.15">
      <c r="A794" s="448"/>
      <c r="B794" s="448"/>
      <c r="C794" s="448"/>
      <c r="D794" s="448"/>
      <c r="E794" s="448"/>
      <c r="F794" s="448"/>
      <c r="G794" s="448"/>
      <c r="H794" s="448"/>
      <c r="I794" s="448"/>
      <c r="J794" s="448"/>
      <c r="K794" s="448"/>
      <c r="L794" s="448"/>
      <c r="M794" s="448"/>
      <c r="N794" s="448"/>
      <c r="O794" s="448"/>
      <c r="P794" s="448"/>
      <c r="Q794" s="448"/>
      <c r="R794" s="448"/>
      <c r="S794" s="448"/>
    </row>
    <row r="795" spans="1:19" x14ac:dyDescent="0.15">
      <c r="A795" s="448"/>
      <c r="B795" s="448"/>
      <c r="C795" s="448"/>
      <c r="D795" s="448"/>
      <c r="E795" s="448"/>
      <c r="F795" s="448"/>
      <c r="G795" s="448"/>
      <c r="H795" s="448"/>
      <c r="I795" s="448"/>
      <c r="J795" s="448"/>
      <c r="K795" s="448"/>
      <c r="L795" s="448"/>
      <c r="M795" s="448"/>
      <c r="N795" s="448"/>
      <c r="O795" s="448"/>
      <c r="P795" s="448"/>
      <c r="Q795" s="448"/>
      <c r="R795" s="448"/>
      <c r="S795" s="448"/>
    </row>
    <row r="796" spans="1:19" x14ac:dyDescent="0.15">
      <c r="A796" s="448"/>
      <c r="B796" s="448"/>
      <c r="C796" s="448"/>
      <c r="D796" s="448"/>
      <c r="E796" s="448"/>
      <c r="F796" s="448"/>
      <c r="G796" s="448"/>
      <c r="H796" s="448"/>
      <c r="I796" s="448"/>
      <c r="J796" s="448"/>
      <c r="K796" s="448"/>
      <c r="L796" s="448"/>
      <c r="M796" s="448"/>
      <c r="N796" s="448"/>
      <c r="O796" s="448"/>
      <c r="P796" s="448"/>
      <c r="Q796" s="448"/>
      <c r="R796" s="448"/>
      <c r="S796" s="448"/>
    </row>
    <row r="797" spans="1:19" x14ac:dyDescent="0.15">
      <c r="A797" s="448"/>
      <c r="B797" s="448"/>
      <c r="C797" s="448"/>
      <c r="D797" s="448"/>
      <c r="E797" s="448"/>
      <c r="F797" s="448"/>
      <c r="G797" s="448"/>
      <c r="H797" s="448"/>
      <c r="I797" s="448"/>
      <c r="J797" s="448"/>
      <c r="K797" s="448"/>
      <c r="L797" s="448"/>
      <c r="M797" s="448"/>
      <c r="N797" s="448"/>
      <c r="O797" s="448"/>
      <c r="P797" s="448"/>
      <c r="Q797" s="448"/>
      <c r="R797" s="448"/>
      <c r="S797" s="448"/>
    </row>
    <row r="798" spans="1:19" x14ac:dyDescent="0.15">
      <c r="A798" s="448"/>
      <c r="B798" s="448"/>
      <c r="C798" s="448"/>
      <c r="D798" s="448"/>
      <c r="E798" s="448"/>
      <c r="F798" s="448"/>
      <c r="G798" s="448"/>
      <c r="H798" s="448"/>
      <c r="I798" s="448"/>
      <c r="J798" s="448"/>
      <c r="K798" s="448"/>
      <c r="L798" s="448"/>
      <c r="M798" s="448"/>
      <c r="N798" s="448"/>
      <c r="O798" s="448"/>
      <c r="P798" s="448"/>
      <c r="Q798" s="448"/>
      <c r="R798" s="448"/>
      <c r="S798" s="448"/>
    </row>
    <row r="799" spans="1:19" x14ac:dyDescent="0.15">
      <c r="A799" s="448"/>
      <c r="B799" s="448"/>
      <c r="C799" s="448"/>
      <c r="D799" s="448"/>
      <c r="E799" s="448"/>
      <c r="F799" s="448"/>
      <c r="G799" s="448"/>
      <c r="H799" s="448"/>
      <c r="I799" s="448"/>
      <c r="J799" s="448"/>
      <c r="K799" s="448"/>
      <c r="L799" s="448"/>
      <c r="M799" s="448"/>
      <c r="N799" s="448"/>
      <c r="O799" s="448"/>
      <c r="P799" s="448"/>
      <c r="Q799" s="448"/>
      <c r="R799" s="448"/>
      <c r="S799" s="448"/>
    </row>
    <row r="800" spans="1:19" x14ac:dyDescent="0.15">
      <c r="A800" s="448"/>
      <c r="B800" s="448"/>
      <c r="C800" s="448"/>
      <c r="D800" s="448"/>
      <c r="E800" s="448"/>
      <c r="F800" s="448"/>
      <c r="G800" s="448"/>
      <c r="H800" s="448"/>
      <c r="I800" s="448"/>
      <c r="J800" s="448"/>
      <c r="K800" s="448"/>
      <c r="L800" s="448"/>
      <c r="M800" s="448"/>
      <c r="N800" s="448"/>
      <c r="O800" s="448"/>
      <c r="P800" s="448"/>
      <c r="Q800" s="448"/>
      <c r="R800" s="448"/>
      <c r="S800" s="448"/>
    </row>
    <row r="801" spans="1:19" x14ac:dyDescent="0.15">
      <c r="A801" s="448"/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</row>
    <row r="802" spans="1:19" x14ac:dyDescent="0.15">
      <c r="A802" s="448"/>
      <c r="B802" s="448"/>
      <c r="C802" s="448"/>
      <c r="D802" s="448"/>
      <c r="E802" s="448"/>
      <c r="F802" s="448"/>
      <c r="G802" s="448"/>
      <c r="H802" s="448"/>
      <c r="I802" s="448"/>
      <c r="J802" s="448"/>
      <c r="K802" s="448"/>
      <c r="L802" s="448"/>
      <c r="M802" s="448"/>
      <c r="N802" s="448"/>
      <c r="O802" s="448"/>
      <c r="P802" s="448"/>
      <c r="Q802" s="448"/>
      <c r="R802" s="448"/>
      <c r="S802" s="448"/>
    </row>
    <row r="803" spans="1:19" x14ac:dyDescent="0.15">
      <c r="A803" s="448"/>
      <c r="B803" s="448"/>
      <c r="C803" s="448"/>
      <c r="D803" s="448"/>
      <c r="E803" s="448"/>
      <c r="F803" s="448"/>
      <c r="G803" s="448"/>
      <c r="H803" s="448"/>
      <c r="I803" s="448"/>
      <c r="J803" s="448"/>
      <c r="K803" s="448"/>
      <c r="L803" s="448"/>
      <c r="M803" s="448"/>
      <c r="N803" s="448"/>
      <c r="O803" s="448"/>
      <c r="P803" s="448"/>
      <c r="Q803" s="448"/>
      <c r="R803" s="448"/>
      <c r="S803" s="448"/>
    </row>
    <row r="804" spans="1:19" x14ac:dyDescent="0.15">
      <c r="A804" s="448"/>
      <c r="B804" s="448"/>
      <c r="C804" s="448"/>
      <c r="D804" s="448"/>
      <c r="E804" s="448"/>
      <c r="F804" s="448"/>
      <c r="G804" s="448"/>
      <c r="H804" s="448"/>
      <c r="I804" s="448"/>
      <c r="J804" s="448"/>
      <c r="K804" s="448"/>
      <c r="L804" s="448"/>
      <c r="M804" s="448"/>
      <c r="N804" s="448"/>
      <c r="O804" s="448"/>
      <c r="P804" s="448"/>
      <c r="Q804" s="448"/>
      <c r="R804" s="448"/>
      <c r="S804" s="448"/>
    </row>
    <row r="805" spans="1:19" x14ac:dyDescent="0.15">
      <c r="A805" s="448"/>
      <c r="B805" s="448"/>
      <c r="C805" s="448"/>
      <c r="D805" s="448"/>
      <c r="E805" s="448"/>
      <c r="F805" s="448"/>
      <c r="G805" s="448"/>
      <c r="H805" s="448"/>
      <c r="I805" s="448"/>
      <c r="J805" s="448"/>
      <c r="K805" s="448"/>
      <c r="L805" s="448"/>
      <c r="M805" s="448"/>
      <c r="N805" s="448"/>
      <c r="O805" s="448"/>
      <c r="P805" s="448"/>
      <c r="Q805" s="448"/>
      <c r="R805" s="448"/>
      <c r="S805" s="448"/>
    </row>
    <row r="806" spans="1:19" x14ac:dyDescent="0.15">
      <c r="A806" s="448"/>
      <c r="B806" s="448"/>
      <c r="C806" s="448"/>
      <c r="D806" s="448"/>
      <c r="E806" s="448"/>
      <c r="F806" s="448"/>
      <c r="G806" s="448"/>
      <c r="H806" s="448"/>
      <c r="I806" s="448"/>
      <c r="J806" s="448"/>
      <c r="K806" s="448"/>
      <c r="L806" s="448"/>
      <c r="M806" s="448"/>
      <c r="N806" s="448"/>
      <c r="O806" s="448"/>
      <c r="P806" s="448"/>
      <c r="Q806" s="448"/>
      <c r="R806" s="448"/>
      <c r="S806" s="448"/>
    </row>
    <row r="807" spans="1:19" x14ac:dyDescent="0.15">
      <c r="A807" s="448"/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</row>
    <row r="808" spans="1:19" x14ac:dyDescent="0.15">
      <c r="A808" s="448"/>
      <c r="B808" s="448"/>
      <c r="C808" s="448"/>
      <c r="D808" s="448"/>
      <c r="E808" s="448"/>
      <c r="F808" s="448"/>
      <c r="G808" s="448"/>
      <c r="H808" s="448"/>
      <c r="I808" s="448"/>
      <c r="J808" s="448"/>
      <c r="K808" s="448"/>
      <c r="L808" s="448"/>
      <c r="M808" s="448"/>
      <c r="N808" s="448"/>
      <c r="O808" s="448"/>
      <c r="P808" s="448"/>
      <c r="Q808" s="448"/>
      <c r="R808" s="448"/>
      <c r="S808" s="448"/>
    </row>
    <row r="809" spans="1:19" x14ac:dyDescent="0.15">
      <c r="A809" s="448"/>
      <c r="B809" s="448"/>
      <c r="C809" s="448"/>
      <c r="D809" s="448"/>
      <c r="E809" s="448"/>
      <c r="F809" s="448"/>
      <c r="G809" s="448"/>
      <c r="H809" s="448"/>
      <c r="I809" s="448"/>
      <c r="J809" s="448"/>
      <c r="K809" s="448"/>
      <c r="L809" s="448"/>
      <c r="M809" s="448"/>
      <c r="N809" s="448"/>
      <c r="O809" s="448"/>
      <c r="P809" s="448"/>
      <c r="Q809" s="448"/>
      <c r="R809" s="448"/>
      <c r="S809" s="448"/>
    </row>
    <row r="810" spans="1:19" x14ac:dyDescent="0.15">
      <c r="A810" s="448"/>
      <c r="B810" s="448"/>
      <c r="C810" s="448"/>
      <c r="D810" s="448"/>
      <c r="E810" s="448"/>
      <c r="F810" s="448"/>
      <c r="G810" s="448"/>
      <c r="H810" s="448"/>
      <c r="I810" s="448"/>
      <c r="J810" s="448"/>
      <c r="K810" s="448"/>
      <c r="L810" s="448"/>
      <c r="M810" s="448"/>
      <c r="N810" s="448"/>
      <c r="O810" s="448"/>
      <c r="P810" s="448"/>
      <c r="Q810" s="448"/>
      <c r="R810" s="448"/>
      <c r="S810" s="448"/>
    </row>
    <row r="811" spans="1:19" x14ac:dyDescent="0.15">
      <c r="A811" s="448"/>
      <c r="B811" s="448"/>
      <c r="C811" s="448"/>
      <c r="D811" s="448"/>
      <c r="E811" s="448"/>
      <c r="F811" s="448"/>
      <c r="G811" s="448"/>
      <c r="H811" s="448"/>
      <c r="I811" s="448"/>
      <c r="J811" s="448"/>
      <c r="K811" s="448"/>
      <c r="L811" s="448"/>
      <c r="M811" s="448"/>
      <c r="N811" s="448"/>
      <c r="O811" s="448"/>
      <c r="P811" s="448"/>
      <c r="Q811" s="448"/>
      <c r="R811" s="448"/>
      <c r="S811" s="448"/>
    </row>
    <row r="812" spans="1:19" x14ac:dyDescent="0.15">
      <c r="A812" s="448"/>
      <c r="B812" s="448"/>
      <c r="C812" s="448"/>
      <c r="D812" s="448"/>
      <c r="E812" s="448"/>
      <c r="F812" s="448"/>
      <c r="G812" s="448"/>
      <c r="H812" s="448"/>
      <c r="I812" s="448"/>
      <c r="J812" s="448"/>
      <c r="K812" s="448"/>
      <c r="L812" s="448"/>
      <c r="M812" s="448"/>
      <c r="N812" s="448"/>
      <c r="O812" s="448"/>
      <c r="P812" s="448"/>
      <c r="Q812" s="448"/>
      <c r="R812" s="448"/>
      <c r="S812" s="448"/>
    </row>
    <row r="813" spans="1:19" x14ac:dyDescent="0.15">
      <c r="A813" s="448"/>
      <c r="B813" s="448"/>
      <c r="C813" s="448"/>
      <c r="D813" s="448"/>
      <c r="E813" s="448"/>
      <c r="F813" s="448"/>
      <c r="G813" s="448"/>
      <c r="H813" s="448"/>
      <c r="I813" s="448"/>
      <c r="J813" s="448"/>
      <c r="K813" s="448"/>
      <c r="L813" s="448"/>
      <c r="M813" s="448"/>
      <c r="N813" s="448"/>
      <c r="O813" s="448"/>
      <c r="P813" s="448"/>
      <c r="Q813" s="448"/>
      <c r="R813" s="448"/>
      <c r="S813" s="448"/>
    </row>
    <row r="814" spans="1:19" x14ac:dyDescent="0.15">
      <c r="A814" s="448"/>
      <c r="B814" s="448"/>
      <c r="C814" s="448"/>
      <c r="D814" s="448"/>
      <c r="E814" s="448"/>
      <c r="F814" s="448"/>
      <c r="G814" s="448"/>
      <c r="H814" s="448"/>
      <c r="I814" s="448"/>
      <c r="J814" s="448"/>
      <c r="K814" s="448"/>
      <c r="L814" s="448"/>
      <c r="M814" s="448"/>
      <c r="N814" s="448"/>
      <c r="O814" s="448"/>
      <c r="P814" s="448"/>
      <c r="Q814" s="448"/>
      <c r="R814" s="448"/>
      <c r="S814" s="448"/>
    </row>
    <row r="815" spans="1:19" x14ac:dyDescent="0.15">
      <c r="A815" s="448"/>
      <c r="B815" s="448"/>
      <c r="C815" s="448"/>
      <c r="D815" s="448"/>
      <c r="E815" s="448"/>
      <c r="F815" s="448"/>
      <c r="G815" s="448"/>
      <c r="H815" s="448"/>
      <c r="I815" s="448"/>
      <c r="J815" s="448"/>
      <c r="K815" s="448"/>
      <c r="L815" s="448"/>
      <c r="M815" s="448"/>
      <c r="N815" s="448"/>
      <c r="O815" s="448"/>
      <c r="P815" s="448"/>
      <c r="Q815" s="448"/>
      <c r="R815" s="448"/>
      <c r="S815" s="448"/>
    </row>
    <row r="816" spans="1:19" x14ac:dyDescent="0.15">
      <c r="A816" s="448"/>
      <c r="B816" s="448"/>
      <c r="C816" s="448"/>
      <c r="D816" s="448"/>
      <c r="E816" s="448"/>
      <c r="F816" s="448"/>
      <c r="G816" s="448"/>
      <c r="H816" s="448"/>
      <c r="I816" s="448"/>
      <c r="J816" s="448"/>
      <c r="K816" s="448"/>
      <c r="L816" s="448"/>
      <c r="M816" s="448"/>
      <c r="N816" s="448"/>
      <c r="O816" s="448"/>
      <c r="P816" s="448"/>
      <c r="Q816" s="448"/>
      <c r="R816" s="448"/>
      <c r="S816" s="448"/>
    </row>
    <row r="817" spans="1:19" x14ac:dyDescent="0.15">
      <c r="A817" s="448"/>
      <c r="B817" s="448"/>
      <c r="C817" s="448"/>
      <c r="D817" s="448"/>
      <c r="E817" s="448"/>
      <c r="F817" s="448"/>
      <c r="G817" s="448"/>
      <c r="H817" s="448"/>
      <c r="I817" s="448"/>
      <c r="J817" s="448"/>
      <c r="K817" s="448"/>
      <c r="L817" s="448"/>
      <c r="M817" s="448"/>
      <c r="N817" s="448"/>
      <c r="O817" s="448"/>
      <c r="P817" s="448"/>
      <c r="Q817" s="448"/>
      <c r="R817" s="448"/>
      <c r="S817" s="448"/>
    </row>
    <row r="818" spans="1:19" x14ac:dyDescent="0.15">
      <c r="A818" s="448"/>
      <c r="B818" s="448"/>
      <c r="C818" s="448"/>
      <c r="D818" s="448"/>
      <c r="E818" s="448"/>
      <c r="F818" s="448"/>
      <c r="G818" s="448"/>
      <c r="H818" s="448"/>
      <c r="I818" s="448"/>
      <c r="J818" s="448"/>
      <c r="K818" s="448"/>
      <c r="L818" s="448"/>
      <c r="M818" s="448"/>
      <c r="N818" s="448"/>
      <c r="O818" s="448"/>
      <c r="P818" s="448"/>
      <c r="Q818" s="448"/>
      <c r="R818" s="448"/>
      <c r="S818" s="448"/>
    </row>
    <row r="819" spans="1:19" x14ac:dyDescent="0.15">
      <c r="A819" s="448"/>
      <c r="B819" s="448"/>
      <c r="C819" s="448"/>
      <c r="D819" s="448"/>
      <c r="E819" s="448"/>
      <c r="F819" s="448"/>
      <c r="G819" s="448"/>
      <c r="H819" s="448"/>
      <c r="I819" s="448"/>
      <c r="J819" s="448"/>
      <c r="K819" s="448"/>
      <c r="L819" s="448"/>
      <c r="M819" s="448"/>
      <c r="N819" s="448"/>
      <c r="O819" s="448"/>
      <c r="P819" s="448"/>
      <c r="Q819" s="448"/>
      <c r="R819" s="448"/>
      <c r="S819" s="448"/>
    </row>
    <row r="820" spans="1:19" x14ac:dyDescent="0.15">
      <c r="A820" s="448"/>
      <c r="B820" s="448"/>
      <c r="C820" s="448"/>
      <c r="D820" s="448"/>
      <c r="E820" s="448"/>
      <c r="F820" s="448"/>
      <c r="G820" s="448"/>
      <c r="H820" s="448"/>
      <c r="I820" s="448"/>
      <c r="J820" s="448"/>
      <c r="K820" s="448"/>
      <c r="L820" s="448"/>
      <c r="M820" s="448"/>
      <c r="N820" s="448"/>
      <c r="O820" s="448"/>
      <c r="P820" s="448"/>
      <c r="Q820" s="448"/>
      <c r="R820" s="448"/>
      <c r="S820" s="448"/>
    </row>
    <row r="821" spans="1:19" x14ac:dyDescent="0.15">
      <c r="A821" s="448"/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</row>
    <row r="822" spans="1:19" x14ac:dyDescent="0.15">
      <c r="A822" s="448"/>
      <c r="B822" s="448"/>
      <c r="C822" s="448"/>
      <c r="D822" s="448"/>
      <c r="E822" s="448"/>
      <c r="F822" s="448"/>
      <c r="G822" s="448"/>
      <c r="H822" s="448"/>
      <c r="I822" s="448"/>
      <c r="J822" s="448"/>
      <c r="K822" s="448"/>
      <c r="L822" s="448"/>
      <c r="M822" s="448"/>
      <c r="N822" s="448"/>
      <c r="O822" s="448"/>
      <c r="P822" s="448"/>
      <c r="Q822" s="448"/>
      <c r="R822" s="448"/>
      <c r="S822" s="448"/>
    </row>
    <row r="823" spans="1:19" x14ac:dyDescent="0.15">
      <c r="A823" s="448"/>
      <c r="B823" s="448"/>
      <c r="C823" s="448"/>
      <c r="D823" s="448"/>
      <c r="E823" s="448"/>
      <c r="F823" s="448"/>
      <c r="G823" s="448"/>
      <c r="H823" s="448"/>
      <c r="I823" s="448"/>
      <c r="J823" s="448"/>
      <c r="K823" s="448"/>
      <c r="L823" s="448"/>
      <c r="M823" s="448"/>
      <c r="N823" s="448"/>
      <c r="O823" s="448"/>
      <c r="P823" s="448"/>
      <c r="Q823" s="448"/>
      <c r="R823" s="448"/>
      <c r="S823" s="448"/>
    </row>
    <row r="824" spans="1:19" x14ac:dyDescent="0.15">
      <c r="A824" s="448"/>
      <c r="B824" s="448"/>
      <c r="C824" s="448"/>
      <c r="D824" s="448"/>
      <c r="E824" s="448"/>
      <c r="F824" s="448"/>
      <c r="G824" s="448"/>
      <c r="H824" s="448"/>
      <c r="I824" s="448"/>
      <c r="J824" s="448"/>
      <c r="K824" s="448"/>
      <c r="L824" s="448"/>
      <c r="M824" s="448"/>
      <c r="N824" s="448"/>
      <c r="O824" s="448"/>
      <c r="P824" s="448"/>
      <c r="Q824" s="448"/>
      <c r="R824" s="448"/>
      <c r="S824" s="448"/>
    </row>
    <row r="825" spans="1:19" x14ac:dyDescent="0.15">
      <c r="A825" s="448"/>
      <c r="B825" s="448"/>
      <c r="C825" s="448"/>
      <c r="D825" s="448"/>
      <c r="E825" s="448"/>
      <c r="F825" s="448"/>
      <c r="G825" s="448"/>
      <c r="H825" s="448"/>
      <c r="I825" s="448"/>
      <c r="J825" s="448"/>
      <c r="K825" s="448"/>
      <c r="L825" s="448"/>
      <c r="M825" s="448"/>
      <c r="N825" s="448"/>
      <c r="O825" s="448"/>
      <c r="P825" s="448"/>
      <c r="Q825" s="448"/>
      <c r="R825" s="448"/>
      <c r="S825" s="448"/>
    </row>
    <row r="826" spans="1:19" x14ac:dyDescent="0.15">
      <c r="A826" s="448"/>
      <c r="B826" s="448"/>
      <c r="C826" s="448"/>
      <c r="D826" s="448"/>
      <c r="E826" s="448"/>
      <c r="F826" s="448"/>
      <c r="G826" s="448"/>
      <c r="H826" s="448"/>
      <c r="I826" s="448"/>
      <c r="J826" s="448"/>
      <c r="K826" s="448"/>
      <c r="L826" s="448"/>
      <c r="M826" s="448"/>
      <c r="N826" s="448"/>
      <c r="O826" s="448"/>
      <c r="P826" s="448"/>
      <c r="Q826" s="448"/>
      <c r="R826" s="448"/>
      <c r="S826" s="448"/>
    </row>
    <row r="827" spans="1:19" x14ac:dyDescent="0.15">
      <c r="A827" s="448"/>
      <c r="B827" s="448"/>
      <c r="C827" s="448"/>
      <c r="D827" s="448"/>
      <c r="E827" s="448"/>
      <c r="F827" s="448"/>
      <c r="G827" s="448"/>
      <c r="H827" s="448"/>
      <c r="I827" s="448"/>
      <c r="J827" s="448"/>
      <c r="K827" s="448"/>
      <c r="L827" s="448"/>
      <c r="M827" s="448"/>
      <c r="N827" s="448"/>
      <c r="O827" s="448"/>
      <c r="P827" s="448"/>
      <c r="Q827" s="448"/>
      <c r="R827" s="448"/>
      <c r="S827" s="448"/>
    </row>
    <row r="828" spans="1:19" x14ac:dyDescent="0.15">
      <c r="A828" s="448"/>
      <c r="B828" s="448"/>
      <c r="C828" s="448"/>
      <c r="D828" s="448"/>
      <c r="E828" s="448"/>
      <c r="F828" s="448"/>
      <c r="G828" s="448"/>
      <c r="H828" s="448"/>
      <c r="I828" s="448"/>
      <c r="J828" s="448"/>
      <c r="K828" s="448"/>
      <c r="L828" s="448"/>
      <c r="M828" s="448"/>
      <c r="N828" s="448"/>
      <c r="O828" s="448"/>
      <c r="P828" s="448"/>
      <c r="Q828" s="448"/>
      <c r="R828" s="448"/>
      <c r="S828" s="448"/>
    </row>
    <row r="829" spans="1:19" x14ac:dyDescent="0.15">
      <c r="A829" s="448"/>
      <c r="B829" s="448"/>
      <c r="C829" s="448"/>
      <c r="D829" s="448"/>
      <c r="E829" s="448"/>
      <c r="F829" s="448"/>
      <c r="G829" s="448"/>
      <c r="H829" s="448"/>
      <c r="I829" s="448"/>
      <c r="J829" s="448"/>
      <c r="K829" s="448"/>
      <c r="L829" s="448"/>
      <c r="M829" s="448"/>
      <c r="N829" s="448"/>
      <c r="O829" s="448"/>
      <c r="P829" s="448"/>
      <c r="Q829" s="448"/>
      <c r="R829" s="448"/>
      <c r="S829" s="448"/>
    </row>
    <row r="830" spans="1:19" x14ac:dyDescent="0.15">
      <c r="A830" s="448"/>
      <c r="B830" s="448"/>
      <c r="C830" s="448"/>
      <c r="D830" s="448"/>
      <c r="E830" s="448"/>
      <c r="F830" s="448"/>
      <c r="G830" s="448"/>
      <c r="H830" s="448"/>
      <c r="I830" s="448"/>
      <c r="J830" s="448"/>
      <c r="K830" s="448"/>
      <c r="L830" s="448"/>
      <c r="M830" s="448"/>
      <c r="N830" s="448"/>
      <c r="O830" s="448"/>
      <c r="P830" s="448"/>
      <c r="Q830" s="448"/>
      <c r="R830" s="448"/>
      <c r="S830" s="448"/>
    </row>
    <row r="831" spans="1:19" x14ac:dyDescent="0.15">
      <c r="A831" s="448"/>
      <c r="B831" s="448"/>
      <c r="C831" s="448"/>
      <c r="D831" s="448"/>
      <c r="E831" s="448"/>
      <c r="F831" s="448"/>
      <c r="G831" s="448"/>
      <c r="H831" s="448"/>
      <c r="I831" s="448"/>
      <c r="J831" s="448"/>
      <c r="K831" s="448"/>
      <c r="L831" s="448"/>
      <c r="M831" s="448"/>
      <c r="N831" s="448"/>
      <c r="O831" s="448"/>
      <c r="P831" s="448"/>
      <c r="Q831" s="448"/>
      <c r="R831" s="448"/>
      <c r="S831" s="448"/>
    </row>
    <row r="832" spans="1:19" x14ac:dyDescent="0.15">
      <c r="A832" s="448"/>
      <c r="B832" s="448"/>
      <c r="C832" s="448"/>
      <c r="D832" s="448"/>
      <c r="E832" s="448"/>
      <c r="F832" s="448"/>
      <c r="G832" s="448"/>
      <c r="H832" s="448"/>
      <c r="I832" s="448"/>
      <c r="J832" s="448"/>
      <c r="K832" s="448"/>
      <c r="L832" s="448"/>
      <c r="M832" s="448"/>
      <c r="N832" s="448"/>
      <c r="O832" s="448"/>
      <c r="P832" s="448"/>
      <c r="Q832" s="448"/>
      <c r="R832" s="448"/>
      <c r="S832" s="448"/>
    </row>
    <row r="833" spans="1:19" x14ac:dyDescent="0.15">
      <c r="A833" s="448"/>
      <c r="B833" s="448"/>
      <c r="C833" s="448"/>
      <c r="D833" s="448"/>
      <c r="E833" s="448"/>
      <c r="F833" s="448"/>
      <c r="G833" s="448"/>
      <c r="H833" s="448"/>
      <c r="I833" s="448"/>
      <c r="J833" s="448"/>
      <c r="K833" s="448"/>
      <c r="L833" s="448"/>
      <c r="M833" s="448"/>
      <c r="N833" s="448"/>
      <c r="O833" s="448"/>
      <c r="P833" s="448"/>
      <c r="Q833" s="448"/>
      <c r="R833" s="448"/>
      <c r="S833" s="448"/>
    </row>
    <row r="834" spans="1:19" x14ac:dyDescent="0.15">
      <c r="A834" s="448"/>
      <c r="B834" s="448"/>
      <c r="C834" s="448"/>
      <c r="D834" s="448"/>
      <c r="E834" s="448"/>
      <c r="F834" s="448"/>
      <c r="G834" s="448"/>
      <c r="H834" s="448"/>
      <c r="I834" s="448"/>
      <c r="J834" s="448"/>
      <c r="K834" s="448"/>
      <c r="L834" s="448"/>
      <c r="M834" s="448"/>
      <c r="N834" s="448"/>
      <c r="O834" s="448"/>
      <c r="P834" s="448"/>
      <c r="Q834" s="448"/>
      <c r="R834" s="448"/>
      <c r="S834" s="448"/>
    </row>
    <row r="835" spans="1:19" x14ac:dyDescent="0.15">
      <c r="A835" s="448"/>
      <c r="B835" s="448"/>
      <c r="C835" s="448"/>
      <c r="D835" s="448"/>
      <c r="E835" s="448"/>
      <c r="F835" s="448"/>
      <c r="G835" s="448"/>
      <c r="H835" s="448"/>
      <c r="I835" s="448"/>
      <c r="J835" s="448"/>
      <c r="K835" s="448"/>
      <c r="L835" s="448"/>
      <c r="M835" s="448"/>
      <c r="N835" s="448"/>
      <c r="O835" s="448"/>
      <c r="P835" s="448"/>
      <c r="Q835" s="448"/>
      <c r="R835" s="448"/>
      <c r="S835" s="448"/>
    </row>
    <row r="836" spans="1:19" x14ac:dyDescent="0.15">
      <c r="A836" s="448"/>
      <c r="B836" s="448"/>
      <c r="C836" s="448"/>
      <c r="D836" s="448"/>
      <c r="E836" s="448"/>
      <c r="F836" s="448"/>
      <c r="G836" s="448"/>
      <c r="H836" s="448"/>
      <c r="I836" s="448"/>
      <c r="J836" s="448"/>
      <c r="K836" s="448"/>
      <c r="L836" s="448"/>
      <c r="M836" s="448"/>
      <c r="N836" s="448"/>
      <c r="O836" s="448"/>
      <c r="P836" s="448"/>
      <c r="Q836" s="448"/>
      <c r="R836" s="448"/>
      <c r="S836" s="448"/>
    </row>
    <row r="837" spans="1:19" x14ac:dyDescent="0.15">
      <c r="A837" s="448"/>
      <c r="B837" s="448"/>
      <c r="C837" s="448"/>
      <c r="D837" s="448"/>
      <c r="E837" s="448"/>
      <c r="F837" s="448"/>
      <c r="G837" s="448"/>
      <c r="H837" s="448"/>
      <c r="I837" s="448"/>
      <c r="J837" s="448"/>
      <c r="K837" s="448"/>
      <c r="L837" s="448"/>
      <c r="M837" s="448"/>
      <c r="N837" s="448"/>
      <c r="O837" s="448"/>
      <c r="P837" s="448"/>
      <c r="Q837" s="448"/>
      <c r="R837" s="448"/>
      <c r="S837" s="448"/>
    </row>
    <row r="838" spans="1:19" x14ac:dyDescent="0.15">
      <c r="A838" s="448"/>
      <c r="B838" s="448"/>
      <c r="C838" s="448"/>
      <c r="D838" s="448"/>
      <c r="E838" s="448"/>
      <c r="F838" s="448"/>
      <c r="G838" s="448"/>
      <c r="H838" s="448"/>
      <c r="I838" s="448"/>
      <c r="J838" s="448"/>
      <c r="K838" s="448"/>
      <c r="L838" s="448"/>
      <c r="M838" s="448"/>
      <c r="N838" s="448"/>
      <c r="O838" s="448"/>
      <c r="P838" s="448"/>
      <c r="Q838" s="448"/>
      <c r="R838" s="448"/>
      <c r="S838" s="448"/>
    </row>
    <row r="839" spans="1:19" x14ac:dyDescent="0.15">
      <c r="A839" s="448"/>
      <c r="B839" s="448"/>
      <c r="C839" s="448"/>
      <c r="D839" s="448"/>
      <c r="E839" s="448"/>
      <c r="F839" s="448"/>
      <c r="G839" s="448"/>
      <c r="H839" s="448"/>
      <c r="I839" s="448"/>
      <c r="J839" s="448"/>
      <c r="K839" s="448"/>
      <c r="L839" s="448"/>
      <c r="M839" s="448"/>
      <c r="N839" s="448"/>
      <c r="O839" s="448"/>
      <c r="P839" s="448"/>
      <c r="Q839" s="448"/>
      <c r="R839" s="448"/>
      <c r="S839" s="448"/>
    </row>
    <row r="840" spans="1:19" x14ac:dyDescent="0.15">
      <c r="A840" s="448"/>
      <c r="B840" s="448"/>
      <c r="C840" s="448"/>
      <c r="D840" s="448"/>
      <c r="E840" s="448"/>
      <c r="F840" s="448"/>
      <c r="G840" s="448"/>
      <c r="H840" s="448"/>
      <c r="I840" s="448"/>
      <c r="J840" s="448"/>
      <c r="K840" s="448"/>
      <c r="L840" s="448"/>
      <c r="M840" s="448"/>
      <c r="N840" s="448"/>
      <c r="O840" s="448"/>
      <c r="P840" s="448"/>
      <c r="Q840" s="448"/>
      <c r="R840" s="448"/>
      <c r="S840" s="448"/>
    </row>
    <row r="841" spans="1:19" x14ac:dyDescent="0.15">
      <c r="A841" s="448"/>
      <c r="B841" s="448"/>
      <c r="C841" s="448"/>
      <c r="D841" s="448"/>
      <c r="E841" s="448"/>
      <c r="F841" s="448"/>
      <c r="G841" s="448"/>
      <c r="H841" s="448"/>
      <c r="I841" s="448"/>
      <c r="J841" s="448"/>
      <c r="K841" s="448"/>
      <c r="L841" s="448"/>
      <c r="M841" s="448"/>
      <c r="N841" s="448"/>
      <c r="O841" s="448"/>
      <c r="P841" s="448"/>
      <c r="Q841" s="448"/>
      <c r="R841" s="448"/>
      <c r="S841" s="448"/>
    </row>
    <row r="842" spans="1:19" x14ac:dyDescent="0.15">
      <c r="A842" s="448"/>
      <c r="B842" s="448"/>
      <c r="C842" s="448"/>
      <c r="D842" s="448"/>
      <c r="E842" s="448"/>
      <c r="F842" s="448"/>
      <c r="G842" s="448"/>
      <c r="H842" s="448"/>
      <c r="I842" s="448"/>
      <c r="J842" s="448"/>
      <c r="K842" s="448"/>
      <c r="L842" s="448"/>
      <c r="M842" s="448"/>
      <c r="N842" s="448"/>
      <c r="O842" s="448"/>
      <c r="P842" s="448"/>
      <c r="Q842" s="448"/>
      <c r="R842" s="448"/>
      <c r="S842" s="448"/>
    </row>
    <row r="843" spans="1:19" x14ac:dyDescent="0.15">
      <c r="A843" s="448"/>
      <c r="B843" s="448"/>
      <c r="C843" s="448"/>
      <c r="D843" s="448"/>
      <c r="E843" s="448"/>
      <c r="F843" s="448"/>
      <c r="G843" s="448"/>
      <c r="H843" s="448"/>
      <c r="I843" s="448"/>
      <c r="J843" s="448"/>
      <c r="K843" s="448"/>
      <c r="L843" s="448"/>
      <c r="M843" s="448"/>
      <c r="N843" s="448"/>
      <c r="O843" s="448"/>
      <c r="P843" s="448"/>
      <c r="Q843" s="448"/>
      <c r="R843" s="448"/>
      <c r="S843" s="448"/>
    </row>
    <row r="844" spans="1:19" x14ac:dyDescent="0.15">
      <c r="A844" s="448"/>
      <c r="B844" s="448"/>
      <c r="C844" s="448"/>
      <c r="D844" s="448"/>
      <c r="E844" s="448"/>
      <c r="F844" s="448"/>
      <c r="G844" s="448"/>
      <c r="H844" s="448"/>
      <c r="I844" s="448"/>
      <c r="J844" s="448"/>
      <c r="K844" s="448"/>
      <c r="L844" s="448"/>
      <c r="M844" s="448"/>
      <c r="N844" s="448"/>
      <c r="O844" s="448"/>
      <c r="P844" s="448"/>
      <c r="Q844" s="448"/>
      <c r="R844" s="448"/>
      <c r="S844" s="448"/>
    </row>
    <row r="845" spans="1:19" x14ac:dyDescent="0.15">
      <c r="A845" s="448"/>
      <c r="B845" s="448"/>
      <c r="C845" s="448"/>
      <c r="D845" s="448"/>
      <c r="E845" s="448"/>
      <c r="F845" s="448"/>
      <c r="G845" s="448"/>
      <c r="H845" s="448"/>
      <c r="I845" s="448"/>
      <c r="J845" s="448"/>
      <c r="K845" s="448"/>
      <c r="L845" s="448"/>
      <c r="M845" s="448"/>
      <c r="N845" s="448"/>
      <c r="O845" s="448"/>
      <c r="P845" s="448"/>
      <c r="Q845" s="448"/>
      <c r="R845" s="448"/>
      <c r="S845" s="448"/>
    </row>
    <row r="846" spans="1:19" x14ac:dyDescent="0.15">
      <c r="A846" s="448"/>
      <c r="B846" s="448"/>
      <c r="C846" s="448"/>
      <c r="D846" s="448"/>
      <c r="E846" s="448"/>
      <c r="F846" s="448"/>
      <c r="G846" s="448"/>
      <c r="H846" s="448"/>
      <c r="I846" s="448"/>
      <c r="J846" s="448"/>
      <c r="K846" s="448"/>
      <c r="L846" s="448"/>
      <c r="M846" s="448"/>
      <c r="N846" s="448"/>
      <c r="O846" s="448"/>
      <c r="P846" s="448"/>
      <c r="Q846" s="448"/>
      <c r="R846" s="448"/>
      <c r="S846" s="448"/>
    </row>
    <row r="847" spans="1:19" x14ac:dyDescent="0.15">
      <c r="A847" s="448"/>
      <c r="B847" s="448"/>
      <c r="C847" s="448"/>
      <c r="D847" s="448"/>
      <c r="E847" s="448"/>
      <c r="F847" s="448"/>
      <c r="G847" s="448"/>
      <c r="H847" s="448"/>
      <c r="I847" s="448"/>
      <c r="J847" s="448"/>
      <c r="K847" s="448"/>
      <c r="L847" s="448"/>
      <c r="M847" s="448"/>
      <c r="N847" s="448"/>
      <c r="O847" s="448"/>
      <c r="P847" s="448"/>
      <c r="Q847" s="448"/>
      <c r="R847" s="448"/>
      <c r="S847" s="448"/>
    </row>
    <row r="848" spans="1:19" x14ac:dyDescent="0.15">
      <c r="A848" s="448"/>
      <c r="B848" s="448"/>
      <c r="C848" s="448"/>
      <c r="D848" s="448"/>
      <c r="E848" s="448"/>
      <c r="F848" s="448"/>
      <c r="G848" s="448"/>
      <c r="H848" s="448"/>
      <c r="I848" s="448"/>
      <c r="J848" s="448"/>
      <c r="K848" s="448"/>
      <c r="L848" s="448"/>
      <c r="M848" s="448"/>
      <c r="N848" s="448"/>
      <c r="O848" s="448"/>
      <c r="P848" s="448"/>
      <c r="Q848" s="448"/>
      <c r="R848" s="448"/>
      <c r="S848" s="448"/>
    </row>
    <row r="849" spans="1:19" x14ac:dyDescent="0.15">
      <c r="A849" s="448"/>
      <c r="B849" s="448"/>
      <c r="C849" s="448"/>
      <c r="D849" s="448"/>
      <c r="E849" s="448"/>
      <c r="F849" s="448"/>
      <c r="G849" s="448"/>
      <c r="H849" s="448"/>
      <c r="I849" s="448"/>
      <c r="J849" s="448"/>
      <c r="K849" s="448"/>
      <c r="L849" s="448"/>
      <c r="M849" s="448"/>
      <c r="N849" s="448"/>
      <c r="O849" s="448"/>
      <c r="P849" s="448"/>
      <c r="Q849" s="448"/>
      <c r="R849" s="448"/>
      <c r="S849" s="448"/>
    </row>
    <row r="850" spans="1:19" x14ac:dyDescent="0.15">
      <c r="A850" s="448"/>
      <c r="B850" s="448"/>
      <c r="C850" s="448"/>
      <c r="D850" s="448"/>
      <c r="E850" s="448"/>
      <c r="F850" s="448"/>
      <c r="G850" s="448"/>
      <c r="H850" s="448"/>
      <c r="I850" s="448"/>
      <c r="J850" s="448"/>
      <c r="K850" s="448"/>
      <c r="L850" s="448"/>
      <c r="M850" s="448"/>
      <c r="N850" s="448"/>
      <c r="O850" s="448"/>
      <c r="P850" s="448"/>
      <c r="Q850" s="448"/>
      <c r="R850" s="448"/>
      <c r="S850" s="448"/>
    </row>
    <row r="851" spans="1:19" x14ac:dyDescent="0.15">
      <c r="A851" s="448"/>
      <c r="B851" s="448"/>
      <c r="C851" s="448"/>
      <c r="D851" s="448"/>
      <c r="E851" s="448"/>
      <c r="F851" s="448"/>
      <c r="G851" s="448"/>
      <c r="H851" s="448"/>
      <c r="I851" s="448"/>
      <c r="J851" s="448"/>
      <c r="K851" s="448"/>
      <c r="L851" s="448"/>
      <c r="M851" s="448"/>
      <c r="N851" s="448"/>
      <c r="O851" s="448"/>
      <c r="P851" s="448"/>
      <c r="Q851" s="448"/>
      <c r="R851" s="448"/>
      <c r="S851" s="448"/>
    </row>
    <row r="852" spans="1:19" x14ac:dyDescent="0.15">
      <c r="A852" s="448"/>
      <c r="B852" s="448"/>
      <c r="C852" s="448"/>
      <c r="D852" s="448"/>
      <c r="E852" s="448"/>
      <c r="F852" s="448"/>
      <c r="G852" s="448"/>
      <c r="H852" s="448"/>
      <c r="I852" s="448"/>
      <c r="J852" s="448"/>
      <c r="K852" s="448"/>
      <c r="L852" s="448"/>
      <c r="M852" s="448"/>
      <c r="N852" s="448"/>
      <c r="O852" s="448"/>
      <c r="P852" s="448"/>
      <c r="Q852" s="448"/>
      <c r="R852" s="448"/>
      <c r="S852" s="448"/>
    </row>
    <row r="853" spans="1:19" x14ac:dyDescent="0.15">
      <c r="A853" s="448"/>
      <c r="B853" s="448"/>
      <c r="C853" s="448"/>
      <c r="D853" s="448"/>
      <c r="E853" s="448"/>
      <c r="F853" s="448"/>
      <c r="G853" s="448"/>
      <c r="H853" s="448"/>
      <c r="I853" s="448"/>
      <c r="J853" s="448"/>
      <c r="K853" s="448"/>
      <c r="L853" s="448"/>
      <c r="M853" s="448"/>
      <c r="N853" s="448"/>
      <c r="O853" s="448"/>
      <c r="P853" s="448"/>
      <c r="Q853" s="448"/>
      <c r="R853" s="448"/>
      <c r="S853" s="448"/>
    </row>
    <row r="854" spans="1:19" x14ac:dyDescent="0.15">
      <c r="A854" s="448"/>
      <c r="B854" s="448"/>
      <c r="C854" s="448"/>
      <c r="D854" s="448"/>
      <c r="E854" s="448"/>
      <c r="F854" s="448"/>
      <c r="G854" s="448"/>
      <c r="H854" s="448"/>
      <c r="I854" s="448"/>
      <c r="J854" s="448"/>
      <c r="K854" s="448"/>
      <c r="L854" s="448"/>
      <c r="M854" s="448"/>
      <c r="N854" s="448"/>
      <c r="O854" s="448"/>
      <c r="P854" s="448"/>
      <c r="Q854" s="448"/>
      <c r="R854" s="448"/>
      <c r="S854" s="448"/>
    </row>
    <row r="855" spans="1:19" x14ac:dyDescent="0.15">
      <c r="A855" s="448"/>
      <c r="B855" s="448"/>
      <c r="C855" s="448"/>
      <c r="D855" s="448"/>
      <c r="E855" s="448"/>
      <c r="F855" s="448"/>
      <c r="G855" s="448"/>
      <c r="H855" s="448"/>
      <c r="I855" s="448"/>
      <c r="J855" s="448"/>
      <c r="K855" s="448"/>
      <c r="L855" s="448"/>
      <c r="M855" s="448"/>
      <c r="N855" s="448"/>
      <c r="O855" s="448"/>
      <c r="P855" s="448"/>
      <c r="Q855" s="448"/>
      <c r="R855" s="448"/>
      <c r="S855" s="448"/>
    </row>
    <row r="856" spans="1:19" x14ac:dyDescent="0.15">
      <c r="A856" s="448"/>
      <c r="B856" s="448"/>
      <c r="C856" s="448"/>
      <c r="D856" s="448"/>
      <c r="E856" s="448"/>
      <c r="F856" s="448"/>
      <c r="G856" s="448"/>
      <c r="H856" s="448"/>
      <c r="I856" s="448"/>
      <c r="J856" s="448"/>
      <c r="K856" s="448"/>
      <c r="L856" s="448"/>
      <c r="M856" s="448"/>
      <c r="N856" s="448"/>
      <c r="O856" s="448"/>
      <c r="P856" s="448"/>
      <c r="Q856" s="448"/>
      <c r="R856" s="448"/>
      <c r="S856" s="448"/>
    </row>
    <row r="857" spans="1:19" x14ac:dyDescent="0.15">
      <c r="A857" s="448"/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</row>
    <row r="858" spans="1:19" x14ac:dyDescent="0.15">
      <c r="A858" s="448"/>
      <c r="B858" s="448"/>
      <c r="C858" s="448"/>
      <c r="D858" s="448"/>
      <c r="E858" s="448"/>
      <c r="F858" s="448"/>
      <c r="G858" s="448"/>
      <c r="H858" s="448"/>
      <c r="I858" s="448"/>
      <c r="J858" s="448"/>
      <c r="K858" s="448"/>
      <c r="L858" s="448"/>
      <c r="M858" s="448"/>
      <c r="N858" s="448"/>
      <c r="O858" s="448"/>
      <c r="P858" s="448"/>
      <c r="Q858" s="448"/>
      <c r="R858" s="448"/>
      <c r="S858" s="448"/>
    </row>
    <row r="859" spans="1:19" x14ac:dyDescent="0.15">
      <c r="A859" s="448"/>
      <c r="B859" s="448"/>
      <c r="C859" s="448"/>
      <c r="D859" s="448"/>
      <c r="E859" s="448"/>
      <c r="F859" s="448"/>
      <c r="G859" s="448"/>
      <c r="H859" s="448"/>
      <c r="I859" s="448"/>
      <c r="J859" s="448"/>
      <c r="K859" s="448"/>
      <c r="L859" s="448"/>
      <c r="M859" s="448"/>
      <c r="N859" s="448"/>
      <c r="O859" s="448"/>
      <c r="P859" s="448"/>
      <c r="Q859" s="448"/>
      <c r="R859" s="448"/>
      <c r="S859" s="448"/>
    </row>
    <row r="860" spans="1:19" x14ac:dyDescent="0.15">
      <c r="A860" s="448"/>
      <c r="B860" s="448"/>
      <c r="C860" s="448"/>
      <c r="D860" s="448"/>
      <c r="E860" s="448"/>
      <c r="F860" s="448"/>
      <c r="G860" s="448"/>
      <c r="H860" s="448"/>
      <c r="I860" s="448"/>
      <c r="J860" s="448"/>
      <c r="K860" s="448"/>
      <c r="L860" s="448"/>
      <c r="M860" s="448"/>
      <c r="N860" s="448"/>
      <c r="O860" s="448"/>
      <c r="P860" s="448"/>
      <c r="Q860" s="448"/>
      <c r="R860" s="448"/>
      <c r="S860" s="448"/>
    </row>
    <row r="861" spans="1:19" x14ac:dyDescent="0.15">
      <c r="A861" s="448"/>
      <c r="B861" s="448"/>
      <c r="C861" s="448"/>
      <c r="D861" s="448"/>
      <c r="E861" s="448"/>
      <c r="F861" s="448"/>
      <c r="G861" s="448"/>
      <c r="H861" s="448"/>
      <c r="I861" s="448"/>
      <c r="J861" s="448"/>
      <c r="K861" s="448"/>
      <c r="L861" s="448"/>
      <c r="M861" s="448"/>
      <c r="N861" s="448"/>
      <c r="O861" s="448"/>
      <c r="P861" s="448"/>
      <c r="Q861" s="448"/>
      <c r="R861" s="448"/>
      <c r="S861" s="448"/>
    </row>
    <row r="862" spans="1:19" x14ac:dyDescent="0.15">
      <c r="A862" s="448"/>
      <c r="B862" s="448"/>
      <c r="C862" s="448"/>
      <c r="D862" s="448"/>
      <c r="E862" s="448"/>
      <c r="F862" s="448"/>
      <c r="G862" s="448"/>
      <c r="H862" s="448"/>
      <c r="I862" s="448"/>
      <c r="J862" s="448"/>
      <c r="K862" s="448"/>
      <c r="L862" s="448"/>
      <c r="M862" s="448"/>
      <c r="N862" s="448"/>
      <c r="O862" s="448"/>
      <c r="P862" s="448"/>
      <c r="Q862" s="448"/>
      <c r="R862" s="448"/>
      <c r="S862" s="448"/>
    </row>
    <row r="863" spans="1:19" x14ac:dyDescent="0.15">
      <c r="A863" s="448"/>
      <c r="B863" s="448"/>
      <c r="C863" s="448"/>
      <c r="D863" s="448"/>
      <c r="E863" s="448"/>
      <c r="F863" s="448"/>
      <c r="G863" s="448"/>
      <c r="H863" s="448"/>
      <c r="I863" s="448"/>
      <c r="J863" s="448"/>
      <c r="K863" s="448"/>
      <c r="L863" s="448"/>
      <c r="M863" s="448"/>
      <c r="N863" s="448"/>
      <c r="O863" s="448"/>
      <c r="P863" s="448"/>
      <c r="Q863" s="448"/>
      <c r="R863" s="448"/>
      <c r="S863" s="448"/>
    </row>
    <row r="864" spans="1:19" x14ac:dyDescent="0.15">
      <c r="A864" s="448"/>
      <c r="B864" s="448"/>
      <c r="C864" s="448"/>
      <c r="D864" s="448"/>
      <c r="E864" s="448"/>
      <c r="F864" s="448"/>
      <c r="G864" s="448"/>
      <c r="H864" s="448"/>
      <c r="I864" s="448"/>
      <c r="J864" s="448"/>
      <c r="K864" s="448"/>
      <c r="L864" s="448"/>
      <c r="M864" s="448"/>
      <c r="N864" s="448"/>
      <c r="O864" s="448"/>
      <c r="P864" s="448"/>
      <c r="Q864" s="448"/>
      <c r="R864" s="448"/>
      <c r="S864" s="448"/>
    </row>
    <row r="865" spans="1:19" x14ac:dyDescent="0.15">
      <c r="A865" s="448"/>
      <c r="B865" s="448"/>
      <c r="C865" s="448"/>
      <c r="D865" s="448"/>
      <c r="E865" s="448"/>
      <c r="F865" s="448"/>
      <c r="G865" s="448"/>
      <c r="H865" s="448"/>
      <c r="I865" s="448"/>
      <c r="J865" s="448"/>
      <c r="K865" s="448"/>
      <c r="L865" s="448"/>
      <c r="M865" s="448"/>
      <c r="N865" s="448"/>
      <c r="O865" s="448"/>
      <c r="P865" s="448"/>
      <c r="Q865" s="448"/>
      <c r="R865" s="448"/>
      <c r="S865" s="448"/>
    </row>
    <row r="866" spans="1:19" x14ac:dyDescent="0.15">
      <c r="A866" s="448"/>
      <c r="B866" s="448"/>
      <c r="C866" s="448"/>
      <c r="D866" s="448"/>
      <c r="E866" s="448"/>
      <c r="F866" s="448"/>
      <c r="G866" s="448"/>
      <c r="H866" s="448"/>
      <c r="I866" s="448"/>
      <c r="J866" s="448"/>
      <c r="K866" s="448"/>
      <c r="L866" s="448"/>
      <c r="M866" s="448"/>
      <c r="N866" s="448"/>
      <c r="O866" s="448"/>
      <c r="P866" s="448"/>
      <c r="Q866" s="448"/>
      <c r="R866" s="448"/>
      <c r="S866" s="448"/>
    </row>
    <row r="867" spans="1:19" x14ac:dyDescent="0.15">
      <c r="A867" s="448"/>
      <c r="B867" s="448"/>
      <c r="C867" s="448"/>
      <c r="D867" s="448"/>
      <c r="E867" s="448"/>
      <c r="F867" s="448"/>
      <c r="G867" s="448"/>
      <c r="H867" s="448"/>
      <c r="I867" s="448"/>
      <c r="J867" s="448"/>
      <c r="K867" s="448"/>
      <c r="L867" s="448"/>
      <c r="M867" s="448"/>
      <c r="N867" s="448"/>
      <c r="O867" s="448"/>
      <c r="P867" s="448"/>
      <c r="Q867" s="448"/>
      <c r="R867" s="448"/>
      <c r="S867" s="448"/>
    </row>
    <row r="868" spans="1:19" x14ac:dyDescent="0.15">
      <c r="A868" s="448"/>
      <c r="B868" s="448"/>
      <c r="C868" s="448"/>
      <c r="D868" s="448"/>
      <c r="E868" s="448"/>
      <c r="F868" s="448"/>
      <c r="G868" s="448"/>
      <c r="H868" s="448"/>
      <c r="I868" s="448"/>
      <c r="J868" s="448"/>
      <c r="K868" s="448"/>
      <c r="L868" s="448"/>
      <c r="M868" s="448"/>
      <c r="N868" s="448"/>
      <c r="O868" s="448"/>
      <c r="P868" s="448"/>
      <c r="Q868" s="448"/>
      <c r="R868" s="448"/>
      <c r="S868" s="448"/>
    </row>
    <row r="869" spans="1:19" x14ac:dyDescent="0.15">
      <c r="A869" s="448"/>
      <c r="B869" s="448"/>
      <c r="C869" s="448"/>
      <c r="D869" s="448"/>
      <c r="E869" s="448"/>
      <c r="F869" s="448"/>
      <c r="G869" s="448"/>
      <c r="H869" s="448"/>
      <c r="I869" s="448"/>
      <c r="J869" s="448"/>
      <c r="K869" s="448"/>
      <c r="L869" s="448"/>
      <c r="M869" s="448"/>
      <c r="N869" s="448"/>
      <c r="O869" s="448"/>
      <c r="P869" s="448"/>
      <c r="Q869" s="448"/>
      <c r="R869" s="448"/>
      <c r="S869" s="448"/>
    </row>
    <row r="870" spans="1:19" x14ac:dyDescent="0.15">
      <c r="A870" s="448"/>
      <c r="B870" s="448"/>
      <c r="C870" s="448"/>
      <c r="D870" s="448"/>
      <c r="E870" s="448"/>
      <c r="F870" s="448"/>
      <c r="G870" s="448"/>
      <c r="H870" s="448"/>
      <c r="I870" s="448"/>
      <c r="J870" s="448"/>
      <c r="K870" s="448"/>
      <c r="L870" s="448"/>
      <c r="M870" s="448"/>
      <c r="N870" s="448"/>
      <c r="O870" s="448"/>
      <c r="P870" s="448"/>
      <c r="Q870" s="448"/>
      <c r="R870" s="448"/>
      <c r="S870" s="448"/>
    </row>
    <row r="871" spans="1:19" x14ac:dyDescent="0.15">
      <c r="A871" s="448"/>
      <c r="B871" s="448"/>
      <c r="C871" s="448"/>
      <c r="D871" s="448"/>
      <c r="E871" s="448"/>
      <c r="F871" s="448"/>
      <c r="G871" s="448"/>
      <c r="H871" s="448"/>
      <c r="I871" s="448"/>
      <c r="J871" s="448"/>
      <c r="K871" s="448"/>
      <c r="L871" s="448"/>
      <c r="M871" s="448"/>
      <c r="N871" s="448"/>
      <c r="O871" s="448"/>
      <c r="P871" s="448"/>
      <c r="Q871" s="448"/>
      <c r="R871" s="448"/>
      <c r="S871" s="448"/>
    </row>
    <row r="872" spans="1:19" x14ac:dyDescent="0.15">
      <c r="A872" s="448"/>
      <c r="B872" s="448"/>
      <c r="C872" s="448"/>
      <c r="D872" s="448"/>
      <c r="E872" s="448"/>
      <c r="F872" s="448"/>
      <c r="G872" s="448"/>
      <c r="H872" s="448"/>
      <c r="I872" s="448"/>
      <c r="J872" s="448"/>
      <c r="K872" s="448"/>
      <c r="L872" s="448"/>
      <c r="M872" s="448"/>
      <c r="N872" s="448"/>
      <c r="O872" s="448"/>
      <c r="P872" s="448"/>
      <c r="Q872" s="448"/>
      <c r="R872" s="448"/>
      <c r="S872" s="448"/>
    </row>
    <row r="873" spans="1:19" x14ac:dyDescent="0.15">
      <c r="A873" s="448"/>
      <c r="B873" s="448"/>
      <c r="C873" s="448"/>
      <c r="D873" s="448"/>
      <c r="E873" s="448"/>
      <c r="F873" s="448"/>
      <c r="G873" s="448"/>
      <c r="H873" s="448"/>
      <c r="I873" s="448"/>
      <c r="J873" s="448"/>
      <c r="K873" s="448"/>
      <c r="L873" s="448"/>
      <c r="M873" s="448"/>
      <c r="N873" s="448"/>
      <c r="O873" s="448"/>
      <c r="P873" s="448"/>
      <c r="Q873" s="448"/>
      <c r="R873" s="448"/>
      <c r="S873" s="448"/>
    </row>
    <row r="874" spans="1:19" x14ac:dyDescent="0.15">
      <c r="A874" s="448"/>
      <c r="B874" s="448"/>
      <c r="C874" s="448"/>
      <c r="D874" s="448"/>
      <c r="E874" s="448"/>
      <c r="F874" s="448"/>
      <c r="G874" s="448"/>
      <c r="H874" s="448"/>
      <c r="I874" s="448"/>
      <c r="J874" s="448"/>
      <c r="K874" s="448"/>
      <c r="L874" s="448"/>
      <c r="M874" s="448"/>
      <c r="N874" s="448"/>
      <c r="O874" s="448"/>
      <c r="P874" s="448"/>
      <c r="Q874" s="448"/>
      <c r="R874" s="448"/>
      <c r="S874" s="448"/>
    </row>
    <row r="875" spans="1:19" x14ac:dyDescent="0.15">
      <c r="A875" s="448"/>
      <c r="B875" s="448"/>
      <c r="C875" s="448"/>
      <c r="D875" s="448"/>
      <c r="E875" s="448"/>
      <c r="F875" s="448"/>
      <c r="G875" s="448"/>
      <c r="H875" s="448"/>
      <c r="I875" s="448"/>
      <c r="J875" s="448"/>
      <c r="K875" s="448"/>
      <c r="L875" s="448"/>
      <c r="M875" s="448"/>
      <c r="N875" s="448"/>
      <c r="O875" s="448"/>
      <c r="P875" s="448"/>
      <c r="Q875" s="448"/>
      <c r="R875" s="448"/>
      <c r="S875" s="448"/>
    </row>
    <row r="876" spans="1:19" x14ac:dyDescent="0.15">
      <c r="A876" s="448"/>
      <c r="B876" s="448"/>
      <c r="C876" s="448"/>
      <c r="D876" s="448"/>
      <c r="E876" s="448"/>
      <c r="F876" s="448"/>
      <c r="G876" s="448"/>
      <c r="H876" s="448"/>
      <c r="I876" s="448"/>
      <c r="J876" s="448"/>
      <c r="K876" s="448"/>
      <c r="L876" s="448"/>
      <c r="M876" s="448"/>
      <c r="N876" s="448"/>
      <c r="O876" s="448"/>
      <c r="P876" s="448"/>
      <c r="Q876" s="448"/>
      <c r="R876" s="448"/>
      <c r="S876" s="448"/>
    </row>
    <row r="877" spans="1:19" x14ac:dyDescent="0.15">
      <c r="A877" s="448"/>
      <c r="B877" s="448"/>
      <c r="C877" s="448"/>
      <c r="D877" s="448"/>
      <c r="E877" s="448"/>
      <c r="F877" s="448"/>
      <c r="G877" s="448"/>
      <c r="H877" s="448"/>
      <c r="I877" s="448"/>
      <c r="J877" s="448"/>
      <c r="K877" s="448"/>
      <c r="L877" s="448"/>
      <c r="M877" s="448"/>
      <c r="N877" s="448"/>
      <c r="O877" s="448"/>
      <c r="P877" s="448"/>
      <c r="Q877" s="448"/>
      <c r="R877" s="448"/>
      <c r="S877" s="448"/>
    </row>
    <row r="878" spans="1:19" x14ac:dyDescent="0.15">
      <c r="A878" s="448"/>
      <c r="B878" s="448"/>
      <c r="C878" s="448"/>
      <c r="D878" s="448"/>
      <c r="E878" s="448"/>
      <c r="F878" s="448"/>
      <c r="G878" s="448"/>
      <c r="H878" s="448"/>
      <c r="I878" s="448"/>
      <c r="J878" s="448"/>
      <c r="K878" s="448"/>
      <c r="L878" s="448"/>
      <c r="M878" s="448"/>
      <c r="N878" s="448"/>
      <c r="O878" s="448"/>
      <c r="P878" s="448"/>
      <c r="Q878" s="448"/>
      <c r="R878" s="448"/>
      <c r="S878" s="448"/>
    </row>
    <row r="879" spans="1:19" x14ac:dyDescent="0.15">
      <c r="A879" s="448"/>
      <c r="B879" s="448"/>
      <c r="C879" s="448"/>
      <c r="D879" s="448"/>
      <c r="E879" s="448"/>
      <c r="F879" s="448"/>
      <c r="G879" s="448"/>
      <c r="H879" s="448"/>
      <c r="I879" s="448"/>
      <c r="J879" s="448"/>
      <c r="K879" s="448"/>
      <c r="L879" s="448"/>
      <c r="M879" s="448"/>
      <c r="N879" s="448"/>
      <c r="O879" s="448"/>
      <c r="P879" s="448"/>
      <c r="Q879" s="448"/>
      <c r="R879" s="448"/>
      <c r="S879" s="448"/>
    </row>
    <row r="880" spans="1:19" x14ac:dyDescent="0.15">
      <c r="A880" s="448"/>
      <c r="B880" s="448"/>
      <c r="C880" s="448"/>
      <c r="D880" s="448"/>
      <c r="E880" s="448"/>
      <c r="F880" s="448"/>
      <c r="G880" s="448"/>
      <c r="H880" s="448"/>
      <c r="I880" s="448"/>
      <c r="J880" s="448"/>
      <c r="K880" s="448"/>
      <c r="L880" s="448"/>
      <c r="M880" s="448"/>
      <c r="N880" s="448"/>
      <c r="O880" s="448"/>
      <c r="P880" s="448"/>
      <c r="Q880" s="448"/>
      <c r="R880" s="448"/>
      <c r="S880" s="448"/>
    </row>
    <row r="881" spans="1:19" x14ac:dyDescent="0.15">
      <c r="A881" s="448"/>
      <c r="B881" s="448"/>
      <c r="C881" s="448"/>
      <c r="D881" s="448"/>
      <c r="E881" s="448"/>
      <c r="F881" s="448"/>
      <c r="G881" s="448"/>
      <c r="H881" s="448"/>
      <c r="I881" s="448"/>
      <c r="J881" s="448"/>
      <c r="K881" s="448"/>
      <c r="L881" s="448"/>
      <c r="M881" s="448"/>
      <c r="N881" s="448"/>
      <c r="O881" s="448"/>
      <c r="P881" s="448"/>
      <c r="Q881" s="448"/>
      <c r="R881" s="448"/>
      <c r="S881" s="448"/>
    </row>
    <row r="882" spans="1:19" x14ac:dyDescent="0.15">
      <c r="A882" s="448"/>
      <c r="B882" s="448"/>
      <c r="C882" s="448"/>
      <c r="D882" s="448"/>
      <c r="E882" s="448"/>
      <c r="F882" s="448"/>
      <c r="G882" s="448"/>
      <c r="H882" s="448"/>
      <c r="I882" s="448"/>
      <c r="J882" s="448"/>
      <c r="K882" s="448"/>
      <c r="L882" s="448"/>
      <c r="M882" s="448"/>
      <c r="N882" s="448"/>
      <c r="O882" s="448"/>
      <c r="P882" s="448"/>
      <c r="Q882" s="448"/>
      <c r="R882" s="448"/>
      <c r="S882" s="448"/>
    </row>
    <row r="883" spans="1:19" x14ac:dyDescent="0.15">
      <c r="A883" s="448"/>
      <c r="B883" s="448"/>
      <c r="C883" s="448"/>
      <c r="D883" s="448"/>
      <c r="E883" s="448"/>
      <c r="F883" s="448"/>
      <c r="G883" s="448"/>
      <c r="H883" s="448"/>
      <c r="I883" s="448"/>
      <c r="J883" s="448"/>
      <c r="K883" s="448"/>
      <c r="L883" s="448"/>
      <c r="M883" s="448"/>
      <c r="N883" s="448"/>
      <c r="O883" s="448"/>
      <c r="P883" s="448"/>
      <c r="Q883" s="448"/>
      <c r="R883" s="448"/>
      <c r="S883" s="448"/>
    </row>
    <row r="884" spans="1:19" x14ac:dyDescent="0.15">
      <c r="A884" s="448"/>
      <c r="B884" s="448"/>
      <c r="C884" s="448"/>
      <c r="D884" s="448"/>
      <c r="E884" s="448"/>
      <c r="F884" s="448"/>
      <c r="G884" s="448"/>
      <c r="H884" s="448"/>
      <c r="I884" s="448"/>
      <c r="J884" s="448"/>
      <c r="K884" s="448"/>
      <c r="L884" s="448"/>
      <c r="M884" s="448"/>
      <c r="N884" s="448"/>
      <c r="O884" s="448"/>
      <c r="P884" s="448"/>
      <c r="Q884" s="448"/>
      <c r="R884" s="448"/>
      <c r="S884" s="448"/>
    </row>
    <row r="885" spans="1:19" x14ac:dyDescent="0.15">
      <c r="A885" s="448"/>
      <c r="B885" s="448"/>
      <c r="C885" s="448"/>
      <c r="D885" s="448"/>
      <c r="E885" s="448"/>
      <c r="F885" s="448"/>
      <c r="G885" s="448"/>
      <c r="H885" s="448"/>
      <c r="I885" s="448"/>
      <c r="J885" s="448"/>
      <c r="K885" s="448"/>
      <c r="L885" s="448"/>
      <c r="M885" s="448"/>
      <c r="N885" s="448"/>
      <c r="O885" s="448"/>
      <c r="P885" s="448"/>
      <c r="Q885" s="448"/>
      <c r="R885" s="448"/>
      <c r="S885" s="448"/>
    </row>
    <row r="886" spans="1:19" x14ac:dyDescent="0.15">
      <c r="A886" s="448"/>
      <c r="B886" s="448"/>
      <c r="C886" s="448"/>
      <c r="D886" s="448"/>
      <c r="E886" s="448"/>
      <c r="F886" s="448"/>
      <c r="G886" s="448"/>
      <c r="H886" s="448"/>
      <c r="I886" s="448"/>
      <c r="J886" s="448"/>
      <c r="K886" s="448"/>
      <c r="L886" s="448"/>
      <c r="M886" s="448"/>
      <c r="N886" s="448"/>
      <c r="O886" s="448"/>
      <c r="P886" s="448"/>
      <c r="Q886" s="448"/>
      <c r="R886" s="448"/>
      <c r="S886" s="448"/>
    </row>
    <row r="887" spans="1:19" x14ac:dyDescent="0.15">
      <c r="A887" s="448"/>
      <c r="B887" s="448"/>
      <c r="C887" s="448"/>
      <c r="D887" s="448"/>
      <c r="E887" s="448"/>
      <c r="F887" s="448"/>
      <c r="G887" s="448"/>
      <c r="H887" s="448"/>
      <c r="I887" s="448"/>
      <c r="J887" s="448"/>
      <c r="K887" s="448"/>
      <c r="L887" s="448"/>
      <c r="M887" s="448"/>
      <c r="N887" s="448"/>
      <c r="O887" s="448"/>
      <c r="P887" s="448"/>
      <c r="Q887" s="448"/>
      <c r="R887" s="448"/>
      <c r="S887" s="448"/>
    </row>
    <row r="888" spans="1:19" x14ac:dyDescent="0.15">
      <c r="A888" s="448"/>
      <c r="B888" s="448"/>
      <c r="C888" s="448"/>
      <c r="D888" s="448"/>
      <c r="E888" s="448"/>
      <c r="F888" s="448"/>
      <c r="G888" s="448"/>
      <c r="H888" s="448"/>
      <c r="I888" s="448"/>
      <c r="J888" s="448"/>
      <c r="K888" s="448"/>
      <c r="L888" s="448"/>
      <c r="M888" s="448"/>
      <c r="N888" s="448"/>
      <c r="O888" s="448"/>
      <c r="P888" s="448"/>
      <c r="Q888" s="448"/>
      <c r="R888" s="448"/>
      <c r="S888" s="448"/>
    </row>
    <row r="889" spans="1:19" x14ac:dyDescent="0.15">
      <c r="A889" s="448"/>
      <c r="B889" s="448"/>
      <c r="C889" s="448"/>
      <c r="D889" s="448"/>
      <c r="E889" s="448"/>
      <c r="F889" s="448"/>
      <c r="G889" s="448"/>
      <c r="H889" s="448"/>
      <c r="I889" s="448"/>
      <c r="J889" s="448"/>
      <c r="K889" s="448"/>
      <c r="L889" s="448"/>
      <c r="M889" s="448"/>
      <c r="N889" s="448"/>
      <c r="O889" s="448"/>
      <c r="P889" s="448"/>
      <c r="Q889" s="448"/>
      <c r="R889" s="448"/>
      <c r="S889" s="448"/>
    </row>
    <row r="890" spans="1:19" x14ac:dyDescent="0.15">
      <c r="A890" s="448"/>
      <c r="B890" s="448"/>
      <c r="C890" s="448"/>
      <c r="D890" s="448"/>
      <c r="E890" s="448"/>
      <c r="F890" s="448"/>
      <c r="G890" s="448"/>
      <c r="H890" s="448"/>
      <c r="I890" s="448"/>
      <c r="J890" s="448"/>
      <c r="K890" s="448"/>
      <c r="L890" s="448"/>
      <c r="M890" s="448"/>
      <c r="N890" s="448"/>
      <c r="O890" s="448"/>
      <c r="P890" s="448"/>
      <c r="Q890" s="448"/>
      <c r="R890" s="448"/>
      <c r="S890" s="448"/>
    </row>
    <row r="891" spans="1:19" x14ac:dyDescent="0.15">
      <c r="A891" s="448"/>
      <c r="B891" s="448"/>
      <c r="C891" s="448"/>
      <c r="D891" s="448"/>
      <c r="E891" s="448"/>
      <c r="F891" s="448"/>
      <c r="G891" s="448"/>
      <c r="H891" s="448"/>
      <c r="I891" s="448"/>
      <c r="J891" s="448"/>
      <c r="K891" s="448"/>
      <c r="L891" s="448"/>
      <c r="M891" s="448"/>
      <c r="N891" s="448"/>
      <c r="O891" s="448"/>
      <c r="P891" s="448"/>
      <c r="Q891" s="448"/>
      <c r="R891" s="448"/>
      <c r="S891" s="448"/>
    </row>
    <row r="892" spans="1:19" x14ac:dyDescent="0.15">
      <c r="A892" s="448"/>
      <c r="B892" s="448"/>
      <c r="C892" s="448"/>
      <c r="D892" s="448"/>
      <c r="E892" s="448"/>
      <c r="F892" s="448"/>
      <c r="G892" s="448"/>
      <c r="H892" s="448"/>
      <c r="I892" s="448"/>
      <c r="J892" s="448"/>
      <c r="K892" s="448"/>
      <c r="L892" s="448"/>
      <c r="M892" s="448"/>
      <c r="N892" s="448"/>
      <c r="O892" s="448"/>
      <c r="P892" s="448"/>
      <c r="Q892" s="448"/>
      <c r="R892" s="448"/>
      <c r="S892" s="448"/>
    </row>
    <row r="893" spans="1:19" x14ac:dyDescent="0.15">
      <c r="A893" s="448"/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</row>
    <row r="894" spans="1:19" x14ac:dyDescent="0.15">
      <c r="A894" s="448"/>
      <c r="B894" s="448"/>
      <c r="C894" s="448"/>
      <c r="D894" s="448"/>
      <c r="E894" s="448"/>
      <c r="F894" s="448"/>
      <c r="G894" s="448"/>
      <c r="H894" s="448"/>
      <c r="I894" s="448"/>
      <c r="J894" s="448"/>
      <c r="K894" s="448"/>
      <c r="L894" s="448"/>
      <c r="M894" s="448"/>
      <c r="N894" s="448"/>
      <c r="O894" s="448"/>
      <c r="P894" s="448"/>
      <c r="Q894" s="448"/>
      <c r="R894" s="448"/>
      <c r="S894" s="448"/>
    </row>
    <row r="895" spans="1:19" x14ac:dyDescent="0.15">
      <c r="A895" s="448"/>
      <c r="B895" s="448"/>
      <c r="C895" s="448"/>
      <c r="D895" s="448"/>
      <c r="E895" s="448"/>
      <c r="F895" s="448"/>
      <c r="G895" s="448"/>
      <c r="H895" s="448"/>
      <c r="I895" s="448"/>
      <c r="J895" s="448"/>
      <c r="K895" s="448"/>
      <c r="L895" s="448"/>
      <c r="M895" s="448"/>
      <c r="N895" s="448"/>
      <c r="O895" s="448"/>
      <c r="P895" s="448"/>
      <c r="Q895" s="448"/>
      <c r="R895" s="448"/>
      <c r="S895" s="448"/>
    </row>
    <row r="896" spans="1:19" x14ac:dyDescent="0.15">
      <c r="A896" s="448"/>
      <c r="B896" s="448"/>
      <c r="C896" s="448"/>
      <c r="D896" s="448"/>
      <c r="E896" s="448"/>
      <c r="F896" s="448"/>
      <c r="G896" s="448"/>
      <c r="H896" s="448"/>
      <c r="I896" s="448"/>
      <c r="J896" s="448"/>
      <c r="K896" s="448"/>
      <c r="L896" s="448"/>
      <c r="M896" s="448"/>
      <c r="N896" s="448"/>
      <c r="O896" s="448"/>
      <c r="P896" s="448"/>
      <c r="Q896" s="448"/>
      <c r="R896" s="448"/>
      <c r="S896" s="448"/>
    </row>
    <row r="897" spans="1:19" x14ac:dyDescent="0.15">
      <c r="A897" s="448"/>
      <c r="B897" s="448"/>
      <c r="C897" s="448"/>
      <c r="D897" s="448"/>
      <c r="E897" s="448"/>
      <c r="F897" s="448"/>
      <c r="G897" s="448"/>
      <c r="H897" s="448"/>
      <c r="I897" s="448"/>
      <c r="J897" s="448"/>
      <c r="K897" s="448"/>
      <c r="L897" s="448"/>
      <c r="M897" s="448"/>
      <c r="N897" s="448"/>
      <c r="O897" s="448"/>
      <c r="P897" s="448"/>
      <c r="Q897" s="448"/>
      <c r="R897" s="448"/>
      <c r="S897" s="448"/>
    </row>
    <row r="898" spans="1:19" x14ac:dyDescent="0.15">
      <c r="A898" s="448"/>
      <c r="B898" s="448"/>
      <c r="C898" s="448"/>
      <c r="D898" s="448"/>
      <c r="E898" s="448"/>
      <c r="F898" s="448"/>
      <c r="G898" s="448"/>
      <c r="H898" s="448"/>
      <c r="I898" s="448"/>
      <c r="J898" s="448"/>
      <c r="K898" s="448"/>
      <c r="L898" s="448"/>
      <c r="M898" s="448"/>
      <c r="N898" s="448"/>
      <c r="O898" s="448"/>
      <c r="P898" s="448"/>
      <c r="Q898" s="448"/>
      <c r="R898" s="448"/>
      <c r="S898" s="448"/>
    </row>
    <row r="899" spans="1:19" x14ac:dyDescent="0.15">
      <c r="A899" s="448"/>
      <c r="B899" s="448"/>
      <c r="C899" s="448"/>
      <c r="D899" s="448"/>
      <c r="E899" s="448"/>
      <c r="F899" s="448"/>
      <c r="G899" s="448"/>
      <c r="H899" s="448"/>
      <c r="I899" s="448"/>
      <c r="J899" s="448"/>
      <c r="K899" s="448"/>
      <c r="L899" s="448"/>
      <c r="M899" s="448"/>
      <c r="N899" s="448"/>
      <c r="O899" s="448"/>
      <c r="P899" s="448"/>
      <c r="Q899" s="448"/>
      <c r="R899" s="448"/>
      <c r="S899" s="448"/>
    </row>
    <row r="900" spans="1:19" x14ac:dyDescent="0.15">
      <c r="A900" s="448"/>
      <c r="B900" s="448"/>
      <c r="C900" s="448"/>
      <c r="D900" s="448"/>
      <c r="E900" s="448"/>
      <c r="F900" s="448"/>
      <c r="G900" s="448"/>
      <c r="H900" s="448"/>
      <c r="I900" s="448"/>
      <c r="J900" s="448"/>
      <c r="K900" s="448"/>
      <c r="L900" s="448"/>
      <c r="M900" s="448"/>
      <c r="N900" s="448"/>
      <c r="O900" s="448"/>
      <c r="P900" s="448"/>
      <c r="Q900" s="448"/>
      <c r="R900" s="448"/>
      <c r="S900" s="448"/>
    </row>
    <row r="901" spans="1:19" x14ac:dyDescent="0.15">
      <c r="A901" s="448"/>
      <c r="B901" s="448"/>
      <c r="C901" s="448"/>
      <c r="D901" s="448"/>
      <c r="E901" s="448"/>
      <c r="F901" s="448"/>
      <c r="G901" s="448"/>
      <c r="H901" s="448"/>
      <c r="I901" s="448"/>
      <c r="J901" s="448"/>
      <c r="K901" s="448"/>
      <c r="L901" s="448"/>
      <c r="M901" s="448"/>
      <c r="N901" s="448"/>
      <c r="O901" s="448"/>
      <c r="P901" s="448"/>
      <c r="Q901" s="448"/>
      <c r="R901" s="448"/>
      <c r="S901" s="448"/>
    </row>
    <row r="902" spans="1:19" x14ac:dyDescent="0.15">
      <c r="A902" s="448"/>
      <c r="B902" s="448"/>
      <c r="C902" s="448"/>
      <c r="D902" s="448"/>
      <c r="E902" s="448"/>
      <c r="F902" s="448"/>
      <c r="G902" s="448"/>
      <c r="H902" s="448"/>
      <c r="I902" s="448"/>
      <c r="J902" s="448"/>
      <c r="K902" s="448"/>
      <c r="L902" s="448"/>
      <c r="M902" s="448"/>
      <c r="N902" s="448"/>
      <c r="O902" s="448"/>
      <c r="P902" s="448"/>
      <c r="Q902" s="448"/>
      <c r="R902" s="448"/>
      <c r="S902" s="448"/>
    </row>
    <row r="903" spans="1:19" x14ac:dyDescent="0.15">
      <c r="A903" s="448"/>
      <c r="B903" s="448"/>
      <c r="C903" s="448"/>
      <c r="D903" s="448"/>
      <c r="E903" s="448"/>
      <c r="F903" s="448"/>
      <c r="G903" s="448"/>
      <c r="H903" s="448"/>
      <c r="I903" s="448"/>
      <c r="J903" s="448"/>
      <c r="K903" s="448"/>
      <c r="L903" s="448"/>
      <c r="M903" s="448"/>
      <c r="N903" s="448"/>
      <c r="O903" s="448"/>
      <c r="P903" s="448"/>
      <c r="Q903" s="448"/>
      <c r="R903" s="448"/>
      <c r="S903" s="448"/>
    </row>
    <row r="904" spans="1:19" x14ac:dyDescent="0.15">
      <c r="A904" s="448"/>
      <c r="B904" s="448"/>
      <c r="C904" s="448"/>
      <c r="D904" s="448"/>
      <c r="E904" s="448"/>
      <c r="F904" s="448"/>
      <c r="G904" s="448"/>
      <c r="H904" s="448"/>
      <c r="I904" s="448"/>
      <c r="J904" s="448"/>
      <c r="K904" s="448"/>
      <c r="L904" s="448"/>
      <c r="M904" s="448"/>
      <c r="N904" s="448"/>
      <c r="O904" s="448"/>
      <c r="P904" s="448"/>
      <c r="Q904" s="448"/>
      <c r="R904" s="448"/>
      <c r="S904" s="448"/>
    </row>
    <row r="905" spans="1:19" x14ac:dyDescent="0.15">
      <c r="A905" s="448"/>
      <c r="B905" s="448"/>
      <c r="C905" s="448"/>
      <c r="D905" s="448"/>
      <c r="E905" s="448"/>
      <c r="F905" s="448"/>
      <c r="G905" s="448"/>
      <c r="H905" s="448"/>
      <c r="I905" s="448"/>
      <c r="J905" s="448"/>
      <c r="K905" s="448"/>
      <c r="L905" s="448"/>
      <c r="M905" s="448"/>
      <c r="N905" s="448"/>
      <c r="O905" s="448"/>
      <c r="P905" s="448"/>
      <c r="Q905" s="448"/>
      <c r="R905" s="448"/>
      <c r="S905" s="448"/>
    </row>
    <row r="906" spans="1:19" x14ac:dyDescent="0.15">
      <c r="A906" s="448"/>
      <c r="B906" s="448"/>
      <c r="C906" s="448"/>
      <c r="D906" s="448"/>
      <c r="E906" s="448"/>
      <c r="F906" s="448"/>
      <c r="G906" s="448"/>
      <c r="H906" s="448"/>
      <c r="I906" s="448"/>
      <c r="J906" s="448"/>
      <c r="K906" s="448"/>
      <c r="L906" s="448"/>
      <c r="M906" s="448"/>
      <c r="N906" s="448"/>
      <c r="O906" s="448"/>
      <c r="P906" s="448"/>
      <c r="Q906" s="448"/>
      <c r="R906" s="448"/>
      <c r="S906" s="448"/>
    </row>
    <row r="907" spans="1:19" x14ac:dyDescent="0.15">
      <c r="A907" s="448"/>
      <c r="B907" s="448"/>
      <c r="C907" s="448"/>
      <c r="D907" s="448"/>
      <c r="E907" s="448"/>
      <c r="F907" s="448"/>
      <c r="G907" s="448"/>
      <c r="H907" s="448"/>
      <c r="I907" s="448"/>
      <c r="J907" s="448"/>
      <c r="K907" s="448"/>
      <c r="L907" s="448"/>
      <c r="M907" s="448"/>
      <c r="N907" s="448"/>
      <c r="O907" s="448"/>
      <c r="P907" s="448"/>
      <c r="Q907" s="448"/>
      <c r="R907" s="448"/>
      <c r="S907" s="448"/>
    </row>
    <row r="908" spans="1:19" x14ac:dyDescent="0.15">
      <c r="A908" s="448"/>
      <c r="B908" s="448"/>
      <c r="C908" s="448"/>
      <c r="D908" s="448"/>
      <c r="E908" s="448"/>
      <c r="F908" s="448"/>
      <c r="G908" s="448"/>
      <c r="H908" s="448"/>
      <c r="I908" s="448"/>
      <c r="J908" s="448"/>
      <c r="K908" s="448"/>
      <c r="L908" s="448"/>
      <c r="M908" s="448"/>
      <c r="N908" s="448"/>
      <c r="O908" s="448"/>
      <c r="P908" s="448"/>
      <c r="Q908" s="448"/>
      <c r="R908" s="448"/>
      <c r="S908" s="448"/>
    </row>
    <row r="909" spans="1:19" x14ac:dyDescent="0.15">
      <c r="A909" s="448"/>
      <c r="B909" s="448"/>
      <c r="C909" s="448"/>
      <c r="D909" s="448"/>
      <c r="E909" s="448"/>
      <c r="F909" s="448"/>
      <c r="G909" s="448"/>
      <c r="H909" s="448"/>
      <c r="I909" s="448"/>
      <c r="J909" s="448"/>
      <c r="K909" s="448"/>
      <c r="L909" s="448"/>
      <c r="M909" s="448"/>
      <c r="N909" s="448"/>
      <c r="O909" s="448"/>
      <c r="P909" s="448"/>
      <c r="Q909" s="448"/>
      <c r="R909" s="448"/>
      <c r="S909" s="448"/>
    </row>
    <row r="910" spans="1:19" x14ac:dyDescent="0.15">
      <c r="A910" s="448"/>
      <c r="B910" s="448"/>
      <c r="C910" s="448"/>
      <c r="D910" s="448"/>
      <c r="E910" s="448"/>
      <c r="F910" s="448"/>
      <c r="G910" s="448"/>
      <c r="H910" s="448"/>
      <c r="I910" s="448"/>
      <c r="J910" s="448"/>
      <c r="K910" s="448"/>
      <c r="L910" s="448"/>
      <c r="M910" s="448"/>
      <c r="N910" s="448"/>
      <c r="O910" s="448"/>
      <c r="P910" s="448"/>
      <c r="Q910" s="448"/>
      <c r="R910" s="448"/>
      <c r="S910" s="448"/>
    </row>
    <row r="911" spans="1:19" x14ac:dyDescent="0.15">
      <c r="A911" s="448"/>
      <c r="B911" s="448"/>
      <c r="C911" s="448"/>
      <c r="D911" s="448"/>
      <c r="E911" s="448"/>
      <c r="F911" s="448"/>
      <c r="G911" s="448"/>
      <c r="H911" s="448"/>
      <c r="I911" s="448"/>
      <c r="J911" s="448"/>
      <c r="K911" s="448"/>
      <c r="L911" s="448"/>
      <c r="M911" s="448"/>
      <c r="N911" s="448"/>
      <c r="O911" s="448"/>
      <c r="P911" s="448"/>
      <c r="Q911" s="448"/>
      <c r="R911" s="448"/>
      <c r="S911" s="448"/>
    </row>
    <row r="912" spans="1:19" x14ac:dyDescent="0.15">
      <c r="A912" s="448"/>
      <c r="B912" s="448"/>
      <c r="C912" s="448"/>
      <c r="D912" s="448"/>
      <c r="E912" s="448"/>
      <c r="F912" s="448"/>
      <c r="G912" s="448"/>
      <c r="H912" s="448"/>
      <c r="I912" s="448"/>
      <c r="J912" s="448"/>
      <c r="K912" s="448"/>
      <c r="L912" s="448"/>
      <c r="M912" s="448"/>
      <c r="N912" s="448"/>
      <c r="O912" s="448"/>
      <c r="P912" s="448"/>
      <c r="Q912" s="448"/>
      <c r="R912" s="448"/>
      <c r="S912" s="448"/>
    </row>
    <row r="913" spans="1:19" x14ac:dyDescent="0.15">
      <c r="A913" s="448"/>
      <c r="B913" s="448"/>
      <c r="C913" s="448"/>
      <c r="D913" s="448"/>
      <c r="E913" s="448"/>
      <c r="F913" s="448"/>
      <c r="G913" s="448"/>
      <c r="H913" s="448"/>
      <c r="I913" s="448"/>
      <c r="J913" s="448"/>
      <c r="K913" s="448"/>
      <c r="L913" s="448"/>
      <c r="M913" s="448"/>
      <c r="N913" s="448"/>
      <c r="O913" s="448"/>
      <c r="P913" s="448"/>
      <c r="Q913" s="448"/>
      <c r="R913" s="448"/>
      <c r="S913" s="448"/>
    </row>
    <row r="914" spans="1:19" x14ac:dyDescent="0.15">
      <c r="A914" s="448"/>
      <c r="B914" s="448"/>
      <c r="C914" s="448"/>
      <c r="D914" s="448"/>
      <c r="E914" s="448"/>
      <c r="F914" s="448"/>
      <c r="G914" s="448"/>
      <c r="H914" s="448"/>
      <c r="I914" s="448"/>
      <c r="J914" s="448"/>
      <c r="K914" s="448"/>
      <c r="L914" s="448"/>
      <c r="M914" s="448"/>
      <c r="N914" s="448"/>
      <c r="O914" s="448"/>
      <c r="P914" s="448"/>
      <c r="Q914" s="448"/>
      <c r="R914" s="448"/>
      <c r="S914" s="448"/>
    </row>
    <row r="915" spans="1:19" x14ac:dyDescent="0.15">
      <c r="A915" s="448"/>
      <c r="B915" s="448"/>
      <c r="C915" s="448"/>
      <c r="D915" s="448"/>
      <c r="E915" s="448"/>
      <c r="F915" s="448"/>
      <c r="G915" s="448"/>
      <c r="H915" s="448"/>
      <c r="I915" s="448"/>
      <c r="J915" s="448"/>
      <c r="K915" s="448"/>
      <c r="L915" s="448"/>
      <c r="M915" s="448"/>
      <c r="N915" s="448"/>
      <c r="O915" s="448"/>
      <c r="P915" s="448"/>
      <c r="Q915" s="448"/>
      <c r="R915" s="448"/>
      <c r="S915" s="448"/>
    </row>
    <row r="916" spans="1:19" x14ac:dyDescent="0.15">
      <c r="A916" s="448"/>
      <c r="B916" s="448"/>
      <c r="C916" s="448"/>
      <c r="D916" s="448"/>
      <c r="E916" s="448"/>
      <c r="F916" s="448"/>
      <c r="G916" s="448"/>
      <c r="H916" s="448"/>
      <c r="I916" s="448"/>
      <c r="J916" s="448"/>
      <c r="K916" s="448"/>
      <c r="L916" s="448"/>
      <c r="M916" s="448"/>
      <c r="N916" s="448"/>
      <c r="O916" s="448"/>
      <c r="P916" s="448"/>
      <c r="Q916" s="448"/>
      <c r="R916" s="448"/>
      <c r="S916" s="448"/>
    </row>
    <row r="917" spans="1:19" x14ac:dyDescent="0.15">
      <c r="A917" s="448"/>
      <c r="B917" s="448"/>
      <c r="C917" s="448"/>
      <c r="D917" s="448"/>
      <c r="E917" s="448"/>
      <c r="F917" s="448"/>
      <c r="G917" s="448"/>
      <c r="H917" s="448"/>
      <c r="I917" s="448"/>
      <c r="J917" s="448"/>
      <c r="K917" s="448"/>
      <c r="L917" s="448"/>
      <c r="M917" s="448"/>
      <c r="N917" s="448"/>
      <c r="O917" s="448"/>
      <c r="P917" s="448"/>
      <c r="Q917" s="448"/>
      <c r="R917" s="448"/>
      <c r="S917" s="448"/>
    </row>
    <row r="918" spans="1:19" x14ac:dyDescent="0.15">
      <c r="A918" s="448"/>
      <c r="B918" s="448"/>
      <c r="C918" s="448"/>
      <c r="D918" s="448"/>
      <c r="E918" s="448"/>
      <c r="F918" s="448"/>
      <c r="G918" s="448"/>
      <c r="H918" s="448"/>
      <c r="I918" s="448"/>
      <c r="J918" s="448"/>
      <c r="K918" s="448"/>
      <c r="L918" s="448"/>
      <c r="M918" s="448"/>
      <c r="N918" s="448"/>
      <c r="O918" s="448"/>
      <c r="P918" s="448"/>
      <c r="Q918" s="448"/>
      <c r="R918" s="448"/>
      <c r="S918" s="448"/>
    </row>
    <row r="919" spans="1:19" x14ac:dyDescent="0.15">
      <c r="A919" s="448"/>
      <c r="B919" s="448"/>
      <c r="C919" s="448"/>
      <c r="D919" s="448"/>
      <c r="E919" s="448"/>
      <c r="F919" s="448"/>
      <c r="G919" s="448"/>
      <c r="H919" s="448"/>
      <c r="I919" s="448"/>
      <c r="J919" s="448"/>
      <c r="K919" s="448"/>
      <c r="L919" s="448"/>
      <c r="M919" s="448"/>
      <c r="N919" s="448"/>
      <c r="O919" s="448"/>
      <c r="P919" s="448"/>
      <c r="Q919" s="448"/>
      <c r="R919" s="448"/>
      <c r="S919" s="448"/>
    </row>
    <row r="920" spans="1:19" x14ac:dyDescent="0.15">
      <c r="A920" s="448"/>
      <c r="B920" s="448"/>
      <c r="C920" s="448"/>
      <c r="D920" s="448"/>
      <c r="E920" s="448"/>
      <c r="F920" s="448"/>
      <c r="G920" s="448"/>
      <c r="H920" s="448"/>
      <c r="I920" s="448"/>
      <c r="J920" s="448"/>
      <c r="K920" s="448"/>
      <c r="L920" s="448"/>
      <c r="M920" s="448"/>
      <c r="N920" s="448"/>
      <c r="O920" s="448"/>
      <c r="P920" s="448"/>
      <c r="Q920" s="448"/>
      <c r="R920" s="448"/>
      <c r="S920" s="448"/>
    </row>
    <row r="921" spans="1:19" x14ac:dyDescent="0.15">
      <c r="A921" s="448"/>
      <c r="B921" s="448"/>
      <c r="C921" s="448"/>
      <c r="D921" s="448"/>
      <c r="E921" s="448"/>
      <c r="F921" s="448"/>
      <c r="G921" s="448"/>
      <c r="H921" s="448"/>
      <c r="I921" s="448"/>
      <c r="J921" s="448"/>
      <c r="K921" s="448"/>
      <c r="L921" s="448"/>
      <c r="M921" s="448"/>
      <c r="N921" s="448"/>
      <c r="O921" s="448"/>
      <c r="P921" s="448"/>
      <c r="Q921" s="448"/>
      <c r="R921" s="448"/>
      <c r="S921" s="448"/>
    </row>
    <row r="922" spans="1:19" x14ac:dyDescent="0.15">
      <c r="A922" s="448"/>
      <c r="B922" s="448"/>
      <c r="C922" s="448"/>
      <c r="D922" s="448"/>
      <c r="E922" s="448"/>
      <c r="F922" s="448"/>
      <c r="G922" s="448"/>
      <c r="H922" s="448"/>
      <c r="I922" s="448"/>
      <c r="J922" s="448"/>
      <c r="K922" s="448"/>
      <c r="L922" s="448"/>
      <c r="M922" s="448"/>
      <c r="N922" s="448"/>
      <c r="O922" s="448"/>
      <c r="P922" s="448"/>
      <c r="Q922" s="448"/>
      <c r="R922" s="448"/>
      <c r="S922" s="448"/>
    </row>
    <row r="923" spans="1:19" x14ac:dyDescent="0.15">
      <c r="A923" s="448"/>
      <c r="B923" s="448"/>
      <c r="C923" s="448"/>
      <c r="D923" s="448"/>
      <c r="E923" s="448"/>
      <c r="F923" s="448"/>
      <c r="G923" s="448"/>
      <c r="H923" s="448"/>
      <c r="I923" s="448"/>
      <c r="J923" s="448"/>
      <c r="K923" s="448"/>
      <c r="L923" s="448"/>
      <c r="M923" s="448"/>
      <c r="N923" s="448"/>
      <c r="O923" s="448"/>
      <c r="P923" s="448"/>
      <c r="Q923" s="448"/>
      <c r="R923" s="448"/>
      <c r="S923" s="448"/>
    </row>
    <row r="924" spans="1:19" x14ac:dyDescent="0.15">
      <c r="A924" s="448"/>
      <c r="B924" s="448"/>
      <c r="C924" s="448"/>
      <c r="D924" s="448"/>
      <c r="E924" s="448"/>
      <c r="F924" s="448"/>
      <c r="G924" s="448"/>
      <c r="H924" s="448"/>
      <c r="I924" s="448"/>
      <c r="J924" s="448"/>
      <c r="K924" s="448"/>
      <c r="L924" s="448"/>
      <c r="M924" s="448"/>
      <c r="N924" s="448"/>
      <c r="O924" s="448"/>
      <c r="P924" s="448"/>
      <c r="Q924" s="448"/>
      <c r="R924" s="448"/>
      <c r="S924" s="448"/>
    </row>
    <row r="925" spans="1:19" x14ac:dyDescent="0.15">
      <c r="A925" s="448"/>
      <c r="B925" s="448"/>
      <c r="C925" s="448"/>
      <c r="D925" s="448"/>
      <c r="E925" s="448"/>
      <c r="F925" s="448"/>
      <c r="G925" s="448"/>
      <c r="H925" s="448"/>
      <c r="I925" s="448"/>
      <c r="J925" s="448"/>
      <c r="K925" s="448"/>
      <c r="L925" s="448"/>
      <c r="M925" s="448"/>
      <c r="N925" s="448"/>
      <c r="O925" s="448"/>
      <c r="P925" s="448"/>
      <c r="Q925" s="448"/>
      <c r="R925" s="448"/>
      <c r="S925" s="448"/>
    </row>
    <row r="926" spans="1:19" x14ac:dyDescent="0.15">
      <c r="A926" s="448"/>
      <c r="B926" s="448"/>
      <c r="C926" s="448"/>
      <c r="D926" s="448"/>
      <c r="E926" s="448"/>
      <c r="F926" s="448"/>
      <c r="G926" s="448"/>
      <c r="H926" s="448"/>
      <c r="I926" s="448"/>
      <c r="J926" s="448"/>
      <c r="K926" s="448"/>
      <c r="L926" s="448"/>
      <c r="M926" s="448"/>
      <c r="N926" s="448"/>
      <c r="O926" s="448"/>
      <c r="P926" s="448"/>
      <c r="Q926" s="448"/>
      <c r="R926" s="448"/>
      <c r="S926" s="448"/>
    </row>
    <row r="927" spans="1:19" x14ac:dyDescent="0.15">
      <c r="A927" s="448"/>
      <c r="B927" s="448"/>
      <c r="C927" s="448"/>
      <c r="D927" s="448"/>
      <c r="E927" s="448"/>
      <c r="F927" s="448"/>
      <c r="G927" s="448"/>
      <c r="H927" s="448"/>
      <c r="I927" s="448"/>
      <c r="J927" s="448"/>
      <c r="K927" s="448"/>
      <c r="L927" s="448"/>
      <c r="M927" s="448"/>
      <c r="N927" s="448"/>
      <c r="O927" s="448"/>
      <c r="P927" s="448"/>
      <c r="Q927" s="448"/>
      <c r="R927" s="448"/>
      <c r="S927" s="448"/>
    </row>
    <row r="928" spans="1:19" x14ac:dyDescent="0.15">
      <c r="A928" s="448"/>
      <c r="B928" s="448"/>
      <c r="C928" s="448"/>
      <c r="D928" s="448"/>
      <c r="E928" s="448"/>
      <c r="F928" s="448"/>
      <c r="G928" s="448"/>
      <c r="H928" s="448"/>
      <c r="I928" s="448"/>
      <c r="J928" s="448"/>
      <c r="K928" s="448"/>
      <c r="L928" s="448"/>
      <c r="M928" s="448"/>
      <c r="N928" s="448"/>
      <c r="O928" s="448"/>
      <c r="P928" s="448"/>
      <c r="Q928" s="448"/>
      <c r="R928" s="448"/>
      <c r="S928" s="448"/>
    </row>
    <row r="929" spans="1:19" x14ac:dyDescent="0.15">
      <c r="A929" s="448"/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</row>
    <row r="930" spans="1:19" x14ac:dyDescent="0.15">
      <c r="A930" s="448"/>
      <c r="B930" s="448"/>
      <c r="C930" s="448"/>
      <c r="D930" s="448"/>
      <c r="E930" s="448"/>
      <c r="F930" s="448"/>
      <c r="G930" s="448"/>
      <c r="H930" s="448"/>
      <c r="I930" s="448"/>
      <c r="J930" s="448"/>
      <c r="K930" s="448"/>
      <c r="L930" s="448"/>
      <c r="M930" s="448"/>
      <c r="N930" s="448"/>
      <c r="O930" s="448"/>
      <c r="P930" s="448"/>
      <c r="Q930" s="448"/>
      <c r="R930" s="448"/>
      <c r="S930" s="448"/>
    </row>
    <row r="931" spans="1:19" x14ac:dyDescent="0.15">
      <c r="A931" s="448"/>
      <c r="B931" s="448"/>
      <c r="C931" s="448"/>
      <c r="D931" s="448"/>
      <c r="E931" s="448"/>
      <c r="F931" s="448"/>
      <c r="G931" s="448"/>
      <c r="H931" s="448"/>
      <c r="I931" s="448"/>
      <c r="J931" s="448"/>
      <c r="K931" s="448"/>
      <c r="L931" s="448"/>
      <c r="M931" s="448"/>
      <c r="N931" s="448"/>
      <c r="O931" s="448"/>
      <c r="P931" s="448"/>
      <c r="Q931" s="448"/>
      <c r="R931" s="448"/>
      <c r="S931" s="448"/>
    </row>
    <row r="932" spans="1:19" x14ac:dyDescent="0.15">
      <c r="A932" s="448"/>
      <c r="B932" s="448"/>
      <c r="C932" s="448"/>
      <c r="D932" s="448"/>
      <c r="E932" s="448"/>
      <c r="F932" s="448"/>
      <c r="G932" s="448"/>
      <c r="H932" s="448"/>
      <c r="I932" s="448"/>
      <c r="J932" s="448"/>
      <c r="K932" s="448"/>
      <c r="L932" s="448"/>
      <c r="M932" s="448"/>
      <c r="N932" s="448"/>
      <c r="O932" s="448"/>
      <c r="P932" s="448"/>
      <c r="Q932" s="448"/>
      <c r="R932" s="448"/>
      <c r="S932" s="448"/>
    </row>
    <row r="933" spans="1:19" x14ac:dyDescent="0.15">
      <c r="A933" s="448"/>
      <c r="B933" s="448"/>
      <c r="C933" s="448"/>
      <c r="D933" s="448"/>
      <c r="E933" s="448"/>
      <c r="F933" s="448"/>
      <c r="G933" s="448"/>
      <c r="H933" s="448"/>
      <c r="I933" s="448"/>
      <c r="J933" s="448"/>
      <c r="K933" s="448"/>
      <c r="L933" s="448"/>
      <c r="M933" s="448"/>
      <c r="N933" s="448"/>
      <c r="O933" s="448"/>
      <c r="P933" s="448"/>
      <c r="Q933" s="448"/>
      <c r="R933" s="448"/>
      <c r="S933" s="448"/>
    </row>
    <row r="934" spans="1:19" x14ac:dyDescent="0.15">
      <c r="A934" s="448"/>
      <c r="B934" s="448"/>
      <c r="C934" s="448"/>
      <c r="D934" s="448"/>
      <c r="E934" s="448"/>
      <c r="F934" s="448"/>
      <c r="G934" s="448"/>
      <c r="H934" s="448"/>
      <c r="I934" s="448"/>
      <c r="J934" s="448"/>
      <c r="K934" s="448"/>
      <c r="L934" s="448"/>
      <c r="M934" s="448"/>
      <c r="N934" s="448"/>
      <c r="O934" s="448"/>
      <c r="P934" s="448"/>
      <c r="Q934" s="448"/>
      <c r="R934" s="448"/>
      <c r="S934" s="448"/>
    </row>
    <row r="935" spans="1:19" x14ac:dyDescent="0.15">
      <c r="A935" s="448"/>
      <c r="B935" s="448"/>
      <c r="C935" s="448"/>
      <c r="D935" s="448"/>
      <c r="E935" s="448"/>
      <c r="F935" s="448"/>
      <c r="G935" s="448"/>
      <c r="H935" s="448"/>
      <c r="I935" s="448"/>
      <c r="J935" s="448"/>
      <c r="K935" s="448"/>
      <c r="L935" s="448"/>
      <c r="M935" s="448"/>
      <c r="N935" s="448"/>
      <c r="O935" s="448"/>
      <c r="P935" s="448"/>
      <c r="Q935" s="448"/>
      <c r="R935" s="448"/>
      <c r="S935" s="448"/>
    </row>
    <row r="936" spans="1:19" x14ac:dyDescent="0.15">
      <c r="A936" s="448"/>
      <c r="B936" s="448"/>
      <c r="C936" s="448"/>
      <c r="D936" s="448"/>
      <c r="E936" s="448"/>
      <c r="F936" s="448"/>
      <c r="G936" s="448"/>
      <c r="H936" s="448"/>
      <c r="I936" s="448"/>
      <c r="J936" s="448"/>
      <c r="K936" s="448"/>
      <c r="L936" s="448"/>
      <c r="M936" s="448"/>
      <c r="N936" s="448"/>
      <c r="O936" s="448"/>
      <c r="P936" s="448"/>
      <c r="Q936" s="448"/>
      <c r="R936" s="448"/>
      <c r="S936" s="448"/>
    </row>
    <row r="937" spans="1:19" x14ac:dyDescent="0.15">
      <c r="A937" s="448"/>
      <c r="B937" s="448"/>
      <c r="C937" s="448"/>
      <c r="D937" s="448"/>
      <c r="E937" s="448"/>
      <c r="F937" s="448"/>
      <c r="G937" s="448"/>
      <c r="H937" s="448"/>
      <c r="I937" s="448"/>
      <c r="J937" s="448"/>
      <c r="K937" s="448"/>
      <c r="L937" s="448"/>
      <c r="M937" s="448"/>
      <c r="N937" s="448"/>
      <c r="O937" s="448"/>
      <c r="P937" s="448"/>
      <c r="Q937" s="448"/>
      <c r="R937" s="448"/>
      <c r="S937" s="448"/>
    </row>
    <row r="938" spans="1:19" x14ac:dyDescent="0.15">
      <c r="A938" s="448"/>
      <c r="B938" s="448"/>
      <c r="C938" s="448"/>
      <c r="D938" s="448"/>
      <c r="E938" s="448"/>
      <c r="F938" s="448"/>
      <c r="G938" s="448"/>
      <c r="H938" s="448"/>
      <c r="I938" s="448"/>
      <c r="J938" s="448"/>
      <c r="K938" s="448"/>
      <c r="L938" s="448"/>
      <c r="M938" s="448"/>
      <c r="N938" s="448"/>
      <c r="O938" s="448"/>
      <c r="P938" s="448"/>
      <c r="Q938" s="448"/>
      <c r="R938" s="448"/>
      <c r="S938" s="448"/>
    </row>
    <row r="939" spans="1:19" x14ac:dyDescent="0.15">
      <c r="A939" s="448"/>
      <c r="B939" s="448"/>
      <c r="C939" s="448"/>
      <c r="D939" s="448"/>
      <c r="E939" s="448"/>
      <c r="F939" s="448"/>
      <c r="G939" s="448"/>
      <c r="H939" s="448"/>
      <c r="I939" s="448"/>
      <c r="J939" s="448"/>
      <c r="K939" s="448"/>
      <c r="L939" s="448"/>
      <c r="M939" s="448"/>
      <c r="N939" s="448"/>
      <c r="O939" s="448"/>
      <c r="P939" s="448"/>
      <c r="Q939" s="448"/>
      <c r="R939" s="448"/>
      <c r="S939" s="448"/>
    </row>
    <row r="940" spans="1:19" x14ac:dyDescent="0.15">
      <c r="A940" s="448"/>
      <c r="B940" s="448"/>
      <c r="C940" s="448"/>
      <c r="D940" s="448"/>
      <c r="E940" s="448"/>
      <c r="F940" s="448"/>
      <c r="G940" s="448"/>
      <c r="H940" s="448"/>
      <c r="I940" s="448"/>
      <c r="J940" s="448"/>
      <c r="K940" s="448"/>
      <c r="L940" s="448"/>
      <c r="M940" s="448"/>
      <c r="N940" s="448"/>
      <c r="O940" s="448"/>
      <c r="P940" s="448"/>
      <c r="Q940" s="448"/>
      <c r="R940" s="448"/>
      <c r="S940" s="448"/>
    </row>
    <row r="941" spans="1:19" x14ac:dyDescent="0.15">
      <c r="A941" s="448"/>
      <c r="B941" s="448"/>
      <c r="C941" s="448"/>
      <c r="D941" s="448"/>
      <c r="E941" s="448"/>
      <c r="F941" s="448"/>
      <c r="G941" s="448"/>
      <c r="H941" s="448"/>
      <c r="I941" s="448"/>
      <c r="J941" s="448"/>
      <c r="K941" s="448"/>
      <c r="L941" s="448"/>
      <c r="M941" s="448"/>
      <c r="N941" s="448"/>
      <c r="O941" s="448"/>
      <c r="P941" s="448"/>
      <c r="Q941" s="448"/>
      <c r="R941" s="448"/>
      <c r="S941" s="448"/>
    </row>
    <row r="942" spans="1:19" x14ac:dyDescent="0.15">
      <c r="A942" s="448"/>
      <c r="B942" s="448"/>
      <c r="C942" s="448"/>
      <c r="D942" s="448"/>
      <c r="E942" s="448"/>
      <c r="F942" s="448"/>
      <c r="G942" s="448"/>
      <c r="H942" s="448"/>
      <c r="I942" s="448"/>
      <c r="J942" s="448"/>
      <c r="K942" s="448"/>
      <c r="L942" s="448"/>
      <c r="M942" s="448"/>
      <c r="N942" s="448"/>
      <c r="O942" s="448"/>
      <c r="P942" s="448"/>
      <c r="Q942" s="448"/>
      <c r="R942" s="448"/>
      <c r="S942" s="448"/>
    </row>
    <row r="943" spans="1:19" x14ac:dyDescent="0.15">
      <c r="A943" s="448"/>
      <c r="B943" s="448"/>
      <c r="C943" s="448"/>
      <c r="D943" s="448"/>
      <c r="E943" s="448"/>
      <c r="F943" s="448"/>
      <c r="G943" s="448"/>
      <c r="H943" s="448"/>
      <c r="I943" s="448"/>
      <c r="J943" s="448"/>
      <c r="K943" s="448"/>
      <c r="L943" s="448"/>
      <c r="M943" s="448"/>
      <c r="N943" s="448"/>
      <c r="O943" s="448"/>
      <c r="P943" s="448"/>
      <c r="Q943" s="448"/>
      <c r="R943" s="448"/>
      <c r="S943" s="448"/>
    </row>
    <row r="944" spans="1:19" x14ac:dyDescent="0.15">
      <c r="A944" s="448"/>
      <c r="B944" s="448"/>
      <c r="C944" s="448"/>
      <c r="D944" s="448"/>
      <c r="E944" s="448"/>
      <c r="F944" s="448"/>
      <c r="G944" s="448"/>
      <c r="H944" s="448"/>
      <c r="I944" s="448"/>
      <c r="J944" s="448"/>
      <c r="K944" s="448"/>
      <c r="L944" s="448"/>
      <c r="M944" s="448"/>
      <c r="N944" s="448"/>
      <c r="O944" s="448"/>
      <c r="P944" s="448"/>
      <c r="Q944" s="448"/>
      <c r="R944" s="448"/>
      <c r="S944" s="448"/>
    </row>
    <row r="945" spans="1:19" x14ac:dyDescent="0.15">
      <c r="A945" s="448"/>
      <c r="B945" s="448"/>
      <c r="C945" s="448"/>
      <c r="D945" s="448"/>
      <c r="E945" s="448"/>
      <c r="F945" s="448"/>
      <c r="G945" s="448"/>
      <c r="H945" s="448"/>
      <c r="I945" s="448"/>
      <c r="J945" s="448"/>
      <c r="K945" s="448"/>
      <c r="L945" s="448"/>
      <c r="M945" s="448"/>
      <c r="N945" s="448"/>
      <c r="O945" s="448"/>
      <c r="P945" s="448"/>
      <c r="Q945" s="448"/>
      <c r="R945" s="448"/>
      <c r="S945" s="448"/>
    </row>
    <row r="946" spans="1:19" x14ac:dyDescent="0.15">
      <c r="A946" s="448"/>
      <c r="B946" s="448"/>
      <c r="C946" s="448"/>
      <c r="D946" s="448"/>
      <c r="E946" s="448"/>
      <c r="F946" s="448"/>
      <c r="G946" s="448"/>
      <c r="H946" s="448"/>
      <c r="I946" s="448"/>
      <c r="J946" s="448"/>
      <c r="K946" s="448"/>
      <c r="L946" s="448"/>
      <c r="M946" s="448"/>
      <c r="N946" s="448"/>
      <c r="O946" s="448"/>
      <c r="P946" s="448"/>
      <c r="Q946" s="448"/>
      <c r="R946" s="448"/>
      <c r="S946" s="448"/>
    </row>
    <row r="947" spans="1:19" x14ac:dyDescent="0.15">
      <c r="A947" s="448"/>
      <c r="B947" s="448"/>
      <c r="C947" s="448"/>
      <c r="D947" s="448"/>
      <c r="E947" s="448"/>
      <c r="F947" s="448"/>
      <c r="G947" s="448"/>
      <c r="H947" s="448"/>
      <c r="I947" s="448"/>
      <c r="J947" s="448"/>
      <c r="K947" s="448"/>
      <c r="L947" s="448"/>
      <c r="M947" s="448"/>
      <c r="N947" s="448"/>
      <c r="O947" s="448"/>
      <c r="P947" s="448"/>
      <c r="Q947" s="448"/>
      <c r="R947" s="448"/>
      <c r="S947" s="448"/>
    </row>
    <row r="948" spans="1:19" x14ac:dyDescent="0.15">
      <c r="A948" s="448"/>
      <c r="B948" s="448"/>
      <c r="C948" s="448"/>
      <c r="D948" s="448"/>
      <c r="E948" s="448"/>
      <c r="F948" s="448"/>
      <c r="G948" s="448"/>
      <c r="H948" s="448"/>
      <c r="I948" s="448"/>
      <c r="J948" s="448"/>
      <c r="K948" s="448"/>
      <c r="L948" s="448"/>
      <c r="M948" s="448"/>
      <c r="N948" s="448"/>
      <c r="O948" s="448"/>
      <c r="P948" s="448"/>
      <c r="Q948" s="448"/>
      <c r="R948" s="448"/>
      <c r="S948" s="448"/>
    </row>
    <row r="949" spans="1:19" x14ac:dyDescent="0.15">
      <c r="A949" s="448"/>
      <c r="B949" s="448"/>
      <c r="C949" s="448"/>
      <c r="D949" s="448"/>
      <c r="E949" s="448"/>
      <c r="F949" s="448"/>
      <c r="G949" s="448"/>
      <c r="H949" s="448"/>
      <c r="I949" s="448"/>
      <c r="J949" s="448"/>
      <c r="K949" s="448"/>
      <c r="L949" s="448"/>
      <c r="M949" s="448"/>
      <c r="N949" s="448"/>
      <c r="O949" s="448"/>
      <c r="P949" s="448"/>
      <c r="Q949" s="448"/>
      <c r="R949" s="448"/>
      <c r="S949" s="448"/>
    </row>
    <row r="950" spans="1:19" x14ac:dyDescent="0.15">
      <c r="A950" s="448"/>
      <c r="B950" s="448"/>
      <c r="C950" s="448"/>
      <c r="D950" s="448"/>
      <c r="E950" s="448"/>
      <c r="F950" s="448"/>
      <c r="G950" s="448"/>
      <c r="H950" s="448"/>
      <c r="I950" s="448"/>
      <c r="J950" s="448"/>
      <c r="K950" s="448"/>
      <c r="L950" s="448"/>
      <c r="M950" s="448"/>
      <c r="N950" s="448"/>
      <c r="O950" s="448"/>
      <c r="P950" s="448"/>
      <c r="Q950" s="448"/>
      <c r="R950" s="448"/>
      <c r="S950" s="448"/>
    </row>
    <row r="951" spans="1:19" x14ac:dyDescent="0.15">
      <c r="A951" s="448"/>
      <c r="B951" s="448"/>
      <c r="C951" s="448"/>
      <c r="D951" s="448"/>
      <c r="E951" s="448"/>
      <c r="F951" s="448"/>
      <c r="G951" s="448"/>
      <c r="H951" s="448"/>
      <c r="I951" s="448"/>
      <c r="J951" s="448"/>
      <c r="K951" s="448"/>
      <c r="L951" s="448"/>
      <c r="M951" s="448"/>
      <c r="N951" s="448"/>
      <c r="O951" s="448"/>
      <c r="P951" s="448"/>
      <c r="Q951" s="448"/>
      <c r="R951" s="448"/>
      <c r="S951" s="448"/>
    </row>
    <row r="952" spans="1:19" x14ac:dyDescent="0.15">
      <c r="A952" s="448"/>
      <c r="B952" s="448"/>
      <c r="C952" s="448"/>
      <c r="D952" s="448"/>
      <c r="E952" s="448"/>
      <c r="F952" s="448"/>
      <c r="G952" s="448"/>
      <c r="H952" s="448"/>
      <c r="I952" s="448"/>
      <c r="J952" s="448"/>
      <c r="K952" s="448"/>
      <c r="L952" s="448"/>
      <c r="M952" s="448"/>
      <c r="N952" s="448"/>
      <c r="O952" s="448"/>
      <c r="P952" s="448"/>
      <c r="Q952" s="448"/>
      <c r="R952" s="448"/>
      <c r="S952" s="448"/>
    </row>
    <row r="953" spans="1:19" x14ac:dyDescent="0.15">
      <c r="A953" s="448"/>
      <c r="B953" s="448"/>
      <c r="C953" s="448"/>
      <c r="D953" s="448"/>
      <c r="E953" s="448"/>
      <c r="F953" s="448"/>
      <c r="G953" s="448"/>
      <c r="H953" s="448"/>
      <c r="I953" s="448"/>
      <c r="J953" s="448"/>
      <c r="K953" s="448"/>
      <c r="L953" s="448"/>
      <c r="M953" s="448"/>
      <c r="N953" s="448"/>
      <c r="O953" s="448"/>
      <c r="P953" s="448"/>
      <c r="Q953" s="448"/>
      <c r="R953" s="448"/>
      <c r="S953" s="448"/>
    </row>
    <row r="954" spans="1:19" x14ac:dyDescent="0.15">
      <c r="A954" s="448"/>
      <c r="B954" s="448"/>
      <c r="C954" s="448"/>
      <c r="D954" s="448"/>
      <c r="E954" s="448"/>
      <c r="F954" s="448"/>
      <c r="G954" s="448"/>
      <c r="H954" s="448"/>
      <c r="I954" s="448"/>
      <c r="J954" s="448"/>
      <c r="K954" s="448"/>
      <c r="L954" s="448"/>
      <c r="M954" s="448"/>
      <c r="N954" s="448"/>
      <c r="O954" s="448"/>
      <c r="P954" s="448"/>
      <c r="Q954" s="448"/>
      <c r="R954" s="448"/>
      <c r="S954" s="448"/>
    </row>
    <row r="955" spans="1:19" x14ac:dyDescent="0.15">
      <c r="A955" s="448"/>
      <c r="B955" s="448"/>
      <c r="C955" s="448"/>
      <c r="D955" s="448"/>
      <c r="E955" s="448"/>
      <c r="F955" s="448"/>
      <c r="G955" s="448"/>
      <c r="H955" s="448"/>
      <c r="I955" s="448"/>
      <c r="J955" s="448"/>
      <c r="K955" s="448"/>
      <c r="L955" s="448"/>
      <c r="M955" s="448"/>
      <c r="N955" s="448"/>
      <c r="O955" s="448"/>
      <c r="P955" s="448"/>
      <c r="Q955" s="448"/>
      <c r="R955" s="448"/>
      <c r="S955" s="448"/>
    </row>
    <row r="956" spans="1:19" x14ac:dyDescent="0.15">
      <c r="A956" s="448"/>
      <c r="B956" s="448"/>
      <c r="C956" s="448"/>
      <c r="D956" s="448"/>
      <c r="E956" s="448"/>
      <c r="F956" s="448"/>
      <c r="G956" s="448"/>
      <c r="H956" s="448"/>
      <c r="I956" s="448"/>
      <c r="J956" s="448"/>
      <c r="K956" s="448"/>
      <c r="L956" s="448"/>
      <c r="M956" s="448"/>
      <c r="N956" s="448"/>
      <c r="O956" s="448"/>
      <c r="P956" s="448"/>
      <c r="Q956" s="448"/>
      <c r="R956" s="448"/>
      <c r="S956" s="448"/>
    </row>
    <row r="957" spans="1:19" x14ac:dyDescent="0.15">
      <c r="A957" s="448"/>
      <c r="B957" s="448"/>
      <c r="C957" s="448"/>
      <c r="D957" s="448"/>
      <c r="E957" s="448"/>
      <c r="F957" s="448"/>
      <c r="G957" s="448"/>
      <c r="H957" s="448"/>
      <c r="I957" s="448"/>
      <c r="J957" s="448"/>
      <c r="K957" s="448"/>
      <c r="L957" s="448"/>
      <c r="M957" s="448"/>
      <c r="N957" s="448"/>
      <c r="O957" s="448"/>
      <c r="P957" s="448"/>
      <c r="Q957" s="448"/>
      <c r="R957" s="448"/>
      <c r="S957" s="448"/>
    </row>
    <row r="958" spans="1:19" x14ac:dyDescent="0.15">
      <c r="A958" s="448"/>
      <c r="B958" s="448"/>
      <c r="C958" s="448"/>
      <c r="D958" s="448"/>
      <c r="E958" s="448"/>
      <c r="F958" s="448"/>
      <c r="G958" s="448"/>
      <c r="H958" s="448"/>
      <c r="I958" s="448"/>
      <c r="J958" s="448"/>
      <c r="K958" s="448"/>
      <c r="L958" s="448"/>
      <c r="M958" s="448"/>
      <c r="N958" s="448"/>
      <c r="O958" s="448"/>
      <c r="P958" s="448"/>
      <c r="Q958" s="448"/>
      <c r="R958" s="448"/>
      <c r="S958" s="448"/>
    </row>
    <row r="959" spans="1:19" x14ac:dyDescent="0.15">
      <c r="A959" s="448"/>
      <c r="B959" s="448"/>
      <c r="C959" s="448"/>
      <c r="D959" s="448"/>
      <c r="E959" s="448"/>
      <c r="F959" s="448"/>
      <c r="G959" s="448"/>
      <c r="H959" s="448"/>
      <c r="I959" s="448"/>
      <c r="J959" s="448"/>
      <c r="K959" s="448"/>
      <c r="L959" s="448"/>
      <c r="M959" s="448"/>
      <c r="N959" s="448"/>
      <c r="O959" s="448"/>
      <c r="P959" s="448"/>
      <c r="Q959" s="448"/>
      <c r="R959" s="448"/>
      <c r="S959" s="448"/>
    </row>
    <row r="960" spans="1:19" x14ac:dyDescent="0.15">
      <c r="A960" s="448"/>
      <c r="B960" s="448"/>
      <c r="C960" s="448"/>
      <c r="D960" s="448"/>
      <c r="E960" s="448"/>
      <c r="F960" s="448"/>
      <c r="G960" s="448"/>
      <c r="H960" s="448"/>
      <c r="I960" s="448"/>
      <c r="J960" s="448"/>
      <c r="K960" s="448"/>
      <c r="L960" s="448"/>
      <c r="M960" s="448"/>
      <c r="N960" s="448"/>
      <c r="O960" s="448"/>
      <c r="P960" s="448"/>
      <c r="Q960" s="448"/>
      <c r="R960" s="448"/>
      <c r="S960" s="448"/>
    </row>
    <row r="961" spans="1:19" x14ac:dyDescent="0.15">
      <c r="A961" s="448"/>
      <c r="B961" s="448"/>
      <c r="C961" s="448"/>
      <c r="D961" s="448"/>
      <c r="E961" s="448"/>
      <c r="F961" s="448"/>
      <c r="G961" s="448"/>
      <c r="H961" s="448"/>
      <c r="I961" s="448"/>
      <c r="J961" s="448"/>
      <c r="K961" s="448"/>
      <c r="L961" s="448"/>
      <c r="M961" s="448"/>
      <c r="N961" s="448"/>
      <c r="O961" s="448"/>
      <c r="P961" s="448"/>
      <c r="Q961" s="448"/>
      <c r="R961" s="448"/>
      <c r="S961" s="448"/>
    </row>
    <row r="962" spans="1:19" x14ac:dyDescent="0.15">
      <c r="A962" s="448"/>
      <c r="B962" s="448"/>
      <c r="C962" s="448"/>
      <c r="D962" s="448"/>
      <c r="E962" s="448"/>
      <c r="F962" s="448"/>
      <c r="G962" s="448"/>
      <c r="H962" s="448"/>
      <c r="I962" s="448"/>
      <c r="J962" s="448"/>
      <c r="K962" s="448"/>
      <c r="L962" s="448"/>
      <c r="M962" s="448"/>
      <c r="N962" s="448"/>
      <c r="O962" s="448"/>
      <c r="P962" s="448"/>
      <c r="Q962" s="448"/>
      <c r="R962" s="448"/>
      <c r="S962" s="448"/>
    </row>
    <row r="963" spans="1:19" x14ac:dyDescent="0.15">
      <c r="A963" s="448"/>
      <c r="B963" s="448"/>
      <c r="C963" s="448"/>
      <c r="D963" s="448"/>
      <c r="E963" s="448"/>
      <c r="F963" s="448"/>
      <c r="G963" s="448"/>
      <c r="H963" s="448"/>
      <c r="I963" s="448"/>
      <c r="J963" s="448"/>
      <c r="K963" s="448"/>
      <c r="L963" s="448"/>
      <c r="M963" s="448"/>
      <c r="N963" s="448"/>
      <c r="O963" s="448"/>
      <c r="P963" s="448"/>
      <c r="Q963" s="448"/>
      <c r="R963" s="448"/>
      <c r="S963" s="448"/>
    </row>
    <row r="964" spans="1:19" x14ac:dyDescent="0.15">
      <c r="A964" s="448"/>
      <c r="B964" s="448"/>
      <c r="C964" s="448"/>
      <c r="D964" s="448"/>
      <c r="E964" s="448"/>
      <c r="F964" s="448"/>
      <c r="G964" s="448"/>
      <c r="H964" s="448"/>
      <c r="I964" s="448"/>
      <c r="J964" s="448"/>
      <c r="K964" s="448"/>
      <c r="L964" s="448"/>
      <c r="M964" s="448"/>
      <c r="N964" s="448"/>
      <c r="O964" s="448"/>
      <c r="P964" s="448"/>
      <c r="Q964" s="448"/>
      <c r="R964" s="448"/>
      <c r="S964" s="448"/>
    </row>
    <row r="965" spans="1:19" x14ac:dyDescent="0.15">
      <c r="A965" s="448"/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</row>
    <row r="966" spans="1:19" x14ac:dyDescent="0.15">
      <c r="A966" s="448"/>
      <c r="B966" s="448"/>
      <c r="C966" s="448"/>
      <c r="D966" s="448"/>
      <c r="E966" s="448"/>
      <c r="F966" s="448"/>
      <c r="G966" s="448"/>
      <c r="H966" s="448"/>
      <c r="I966" s="448"/>
      <c r="J966" s="448"/>
      <c r="K966" s="448"/>
      <c r="L966" s="448"/>
      <c r="M966" s="448"/>
      <c r="N966" s="448"/>
      <c r="O966" s="448"/>
      <c r="P966" s="448"/>
      <c r="Q966" s="448"/>
      <c r="R966" s="448"/>
      <c r="S966" s="448"/>
    </row>
    <row r="967" spans="1:19" x14ac:dyDescent="0.15">
      <c r="A967" s="448"/>
      <c r="B967" s="448"/>
      <c r="C967" s="448"/>
      <c r="D967" s="448"/>
      <c r="E967" s="448"/>
      <c r="F967" s="448"/>
      <c r="G967" s="448"/>
      <c r="H967" s="448"/>
      <c r="I967" s="448"/>
      <c r="J967" s="448"/>
      <c r="K967" s="448"/>
      <c r="L967" s="448"/>
      <c r="M967" s="448"/>
      <c r="N967" s="448"/>
      <c r="O967" s="448"/>
      <c r="P967" s="448"/>
      <c r="Q967" s="448"/>
      <c r="R967" s="448"/>
      <c r="S967" s="448"/>
    </row>
    <row r="968" spans="1:19" x14ac:dyDescent="0.15">
      <c r="A968" s="448"/>
      <c r="B968" s="448"/>
      <c r="C968" s="448"/>
      <c r="D968" s="448"/>
      <c r="E968" s="448"/>
      <c r="F968" s="448"/>
      <c r="G968" s="448"/>
      <c r="H968" s="448"/>
      <c r="I968" s="448"/>
      <c r="J968" s="448"/>
      <c r="K968" s="448"/>
      <c r="L968" s="448"/>
      <c r="M968" s="448"/>
      <c r="N968" s="448"/>
      <c r="O968" s="448"/>
      <c r="P968" s="448"/>
      <c r="Q968" s="448"/>
      <c r="R968" s="448"/>
      <c r="S968" s="448"/>
    </row>
    <row r="969" spans="1:19" x14ac:dyDescent="0.15">
      <c r="A969" s="448"/>
      <c r="B969" s="448"/>
      <c r="C969" s="448"/>
      <c r="D969" s="448"/>
      <c r="E969" s="448"/>
      <c r="F969" s="448"/>
      <c r="G969" s="448"/>
      <c r="H969" s="448"/>
      <c r="I969" s="448"/>
      <c r="J969" s="448"/>
      <c r="K969" s="448"/>
      <c r="L969" s="448"/>
      <c r="M969" s="448"/>
      <c r="N969" s="448"/>
      <c r="O969" s="448"/>
      <c r="P969" s="448"/>
      <c r="Q969" s="448"/>
      <c r="R969" s="448"/>
      <c r="S969" s="448"/>
    </row>
    <row r="970" spans="1:19" x14ac:dyDescent="0.15">
      <c r="A970" s="448"/>
      <c r="B970" s="448"/>
      <c r="C970" s="448"/>
      <c r="D970" s="448"/>
      <c r="E970" s="448"/>
      <c r="F970" s="448"/>
      <c r="G970" s="448"/>
      <c r="H970" s="448"/>
      <c r="I970" s="448"/>
      <c r="J970" s="448"/>
      <c r="K970" s="448"/>
      <c r="L970" s="448"/>
      <c r="M970" s="448"/>
      <c r="N970" s="448"/>
      <c r="O970" s="448"/>
      <c r="P970" s="448"/>
      <c r="Q970" s="448"/>
      <c r="R970" s="448"/>
      <c r="S970" s="448"/>
    </row>
    <row r="971" spans="1:19" x14ac:dyDescent="0.15">
      <c r="A971" s="448"/>
      <c r="B971" s="448"/>
      <c r="C971" s="448"/>
      <c r="D971" s="448"/>
      <c r="E971" s="448"/>
      <c r="F971" s="448"/>
      <c r="G971" s="448"/>
      <c r="H971" s="448"/>
      <c r="I971" s="448"/>
      <c r="J971" s="448"/>
      <c r="K971" s="448"/>
      <c r="L971" s="448"/>
      <c r="M971" s="448"/>
      <c r="N971" s="448"/>
      <c r="O971" s="448"/>
      <c r="P971" s="448"/>
      <c r="Q971" s="448"/>
      <c r="R971" s="448"/>
      <c r="S971" s="448"/>
    </row>
    <row r="972" spans="1:19" x14ac:dyDescent="0.15">
      <c r="A972" s="448"/>
      <c r="B972" s="448"/>
      <c r="C972" s="448"/>
      <c r="D972" s="448"/>
      <c r="E972" s="448"/>
      <c r="F972" s="448"/>
      <c r="G972" s="448"/>
      <c r="H972" s="448"/>
      <c r="I972" s="448"/>
      <c r="J972" s="448"/>
      <c r="K972" s="448"/>
      <c r="L972" s="448"/>
      <c r="M972" s="448"/>
      <c r="N972" s="448"/>
      <c r="O972" s="448"/>
      <c r="P972" s="448"/>
      <c r="Q972" s="448"/>
      <c r="R972" s="448"/>
      <c r="S972" s="448"/>
    </row>
    <row r="973" spans="1:19" x14ac:dyDescent="0.15">
      <c r="A973" s="448"/>
      <c r="B973" s="448"/>
      <c r="C973" s="448"/>
      <c r="D973" s="448"/>
      <c r="E973" s="448"/>
      <c r="F973" s="448"/>
      <c r="G973" s="448"/>
      <c r="H973" s="448"/>
      <c r="I973" s="448"/>
      <c r="J973" s="448"/>
      <c r="K973" s="448"/>
      <c r="L973" s="448"/>
      <c r="M973" s="448"/>
      <c r="N973" s="448"/>
      <c r="O973" s="448"/>
      <c r="P973" s="448"/>
      <c r="Q973" s="448"/>
      <c r="R973" s="448"/>
      <c r="S973" s="448"/>
    </row>
    <row r="974" spans="1:19" x14ac:dyDescent="0.15">
      <c r="A974" s="448"/>
      <c r="B974" s="448"/>
      <c r="C974" s="448"/>
      <c r="D974" s="448"/>
      <c r="E974" s="448"/>
      <c r="F974" s="448"/>
      <c r="G974" s="448"/>
      <c r="H974" s="448"/>
      <c r="I974" s="448"/>
      <c r="J974" s="448"/>
      <c r="K974" s="448"/>
      <c r="L974" s="448"/>
      <c r="M974" s="448"/>
      <c r="N974" s="448"/>
      <c r="O974" s="448"/>
      <c r="P974" s="448"/>
      <c r="Q974" s="448"/>
      <c r="R974" s="448"/>
      <c r="S974" s="448"/>
    </row>
    <row r="975" spans="1:19" x14ac:dyDescent="0.15">
      <c r="A975" s="448"/>
      <c r="B975" s="448"/>
      <c r="C975" s="448"/>
      <c r="D975" s="448"/>
      <c r="E975" s="448"/>
      <c r="F975" s="448"/>
      <c r="G975" s="448"/>
      <c r="H975" s="448"/>
      <c r="I975" s="448"/>
      <c r="J975" s="448"/>
      <c r="K975" s="448"/>
      <c r="L975" s="448"/>
      <c r="M975" s="448"/>
      <c r="N975" s="448"/>
      <c r="O975" s="448"/>
      <c r="P975" s="448"/>
      <c r="Q975" s="448"/>
      <c r="R975" s="448"/>
      <c r="S975" s="448"/>
    </row>
    <row r="976" spans="1:19" x14ac:dyDescent="0.15">
      <c r="A976" s="448"/>
      <c r="B976" s="448"/>
      <c r="C976" s="448"/>
      <c r="D976" s="448"/>
      <c r="E976" s="448"/>
      <c r="F976" s="448"/>
      <c r="G976" s="448"/>
      <c r="H976" s="448"/>
      <c r="I976" s="448"/>
      <c r="J976" s="448"/>
      <c r="K976" s="448"/>
      <c r="L976" s="448"/>
      <c r="M976" s="448"/>
      <c r="N976" s="448"/>
      <c r="O976" s="448"/>
      <c r="P976" s="448"/>
      <c r="Q976" s="448"/>
      <c r="R976" s="448"/>
      <c r="S976" s="448"/>
    </row>
    <row r="977" spans="1:19" x14ac:dyDescent="0.15">
      <c r="A977" s="448"/>
      <c r="B977" s="448"/>
      <c r="C977" s="448"/>
      <c r="D977" s="448"/>
      <c r="E977" s="448"/>
      <c r="F977" s="448"/>
      <c r="G977" s="448"/>
      <c r="H977" s="448"/>
      <c r="I977" s="448"/>
      <c r="J977" s="448"/>
      <c r="K977" s="448"/>
      <c r="L977" s="448"/>
      <c r="M977" s="448"/>
      <c r="N977" s="448"/>
      <c r="O977" s="448"/>
      <c r="P977" s="448"/>
      <c r="Q977" s="448"/>
      <c r="R977" s="448"/>
      <c r="S977" s="448"/>
    </row>
    <row r="978" spans="1:19" x14ac:dyDescent="0.15">
      <c r="A978" s="448"/>
      <c r="B978" s="448"/>
      <c r="C978" s="448"/>
      <c r="D978" s="448"/>
      <c r="E978" s="448"/>
      <c r="F978" s="448"/>
      <c r="G978" s="448"/>
      <c r="H978" s="448"/>
      <c r="I978" s="448"/>
      <c r="J978" s="448"/>
      <c r="K978" s="448"/>
      <c r="L978" s="448"/>
      <c r="M978" s="448"/>
      <c r="N978" s="448"/>
      <c r="O978" s="448"/>
      <c r="P978" s="448"/>
      <c r="Q978" s="448"/>
      <c r="R978" s="448"/>
      <c r="S978" s="448"/>
    </row>
    <row r="979" spans="1:19" x14ac:dyDescent="0.15">
      <c r="A979" s="448"/>
      <c r="B979" s="448"/>
      <c r="C979" s="448"/>
      <c r="D979" s="448"/>
      <c r="E979" s="448"/>
      <c r="F979" s="448"/>
      <c r="G979" s="448"/>
      <c r="H979" s="448"/>
      <c r="I979" s="448"/>
      <c r="J979" s="448"/>
      <c r="K979" s="448"/>
      <c r="L979" s="448"/>
      <c r="M979" s="448"/>
      <c r="N979" s="448"/>
      <c r="O979" s="448"/>
      <c r="P979" s="448"/>
      <c r="Q979" s="448"/>
      <c r="R979" s="448"/>
      <c r="S979" s="448"/>
    </row>
    <row r="980" spans="1:19" x14ac:dyDescent="0.15">
      <c r="A980" s="448"/>
      <c r="B980" s="448"/>
      <c r="C980" s="448"/>
      <c r="D980" s="448"/>
      <c r="E980" s="448"/>
      <c r="F980" s="448"/>
      <c r="G980" s="448"/>
      <c r="H980" s="448"/>
      <c r="I980" s="448"/>
      <c r="J980" s="448"/>
      <c r="K980" s="448"/>
      <c r="L980" s="448"/>
      <c r="M980" s="448"/>
      <c r="N980" s="448"/>
      <c r="O980" s="448"/>
      <c r="P980" s="448"/>
      <c r="Q980" s="448"/>
      <c r="R980" s="448"/>
      <c r="S980" s="448"/>
    </row>
    <row r="981" spans="1:19" x14ac:dyDescent="0.15">
      <c r="A981" s="448"/>
      <c r="B981" s="448"/>
      <c r="C981" s="448"/>
      <c r="D981" s="448"/>
      <c r="E981" s="448"/>
      <c r="F981" s="448"/>
      <c r="G981" s="448"/>
      <c r="H981" s="448"/>
      <c r="I981" s="448"/>
      <c r="J981" s="448"/>
      <c r="K981" s="448"/>
      <c r="L981" s="448"/>
      <c r="M981" s="448"/>
      <c r="N981" s="448"/>
      <c r="O981" s="448"/>
      <c r="P981" s="448"/>
      <c r="Q981" s="448"/>
      <c r="R981" s="448"/>
      <c r="S981" s="448"/>
    </row>
    <row r="982" spans="1:19" x14ac:dyDescent="0.15">
      <c r="A982" s="448"/>
      <c r="B982" s="448"/>
      <c r="C982" s="448"/>
      <c r="D982" s="448"/>
      <c r="E982" s="448"/>
      <c r="F982" s="448"/>
      <c r="G982" s="448"/>
      <c r="H982" s="448"/>
      <c r="I982" s="448"/>
      <c r="J982" s="448"/>
      <c r="K982" s="448"/>
      <c r="L982" s="448"/>
      <c r="M982" s="448"/>
      <c r="N982" s="448"/>
      <c r="O982" s="448"/>
      <c r="P982" s="448"/>
      <c r="Q982" s="448"/>
      <c r="R982" s="448"/>
      <c r="S982" s="448"/>
    </row>
    <row r="983" spans="1:19" x14ac:dyDescent="0.15">
      <c r="A983" s="448"/>
      <c r="B983" s="448"/>
      <c r="C983" s="448"/>
      <c r="D983" s="448"/>
      <c r="E983" s="448"/>
      <c r="F983" s="448"/>
      <c r="G983" s="448"/>
      <c r="H983" s="448"/>
      <c r="I983" s="448"/>
      <c r="J983" s="448"/>
      <c r="K983" s="448"/>
      <c r="L983" s="448"/>
      <c r="M983" s="448"/>
      <c r="N983" s="448"/>
      <c r="O983" s="448"/>
      <c r="P983" s="448"/>
      <c r="Q983" s="448"/>
      <c r="R983" s="448"/>
      <c r="S983" s="448"/>
    </row>
    <row r="984" spans="1:19" x14ac:dyDescent="0.15">
      <c r="A984" s="448"/>
      <c r="B984" s="448"/>
      <c r="C984" s="448"/>
      <c r="D984" s="448"/>
      <c r="E984" s="448"/>
      <c r="F984" s="448"/>
      <c r="G984" s="448"/>
      <c r="H984" s="448"/>
      <c r="I984" s="448"/>
      <c r="J984" s="448"/>
      <c r="K984" s="448"/>
      <c r="L984" s="448"/>
      <c r="M984" s="448"/>
      <c r="N984" s="448"/>
      <c r="O984" s="448"/>
      <c r="P984" s="448"/>
      <c r="Q984" s="448"/>
      <c r="R984" s="448"/>
      <c r="S984" s="448"/>
    </row>
    <row r="985" spans="1:19" x14ac:dyDescent="0.15">
      <c r="A985" s="448"/>
      <c r="B985" s="448"/>
      <c r="C985" s="448"/>
      <c r="D985" s="448"/>
      <c r="E985" s="448"/>
      <c r="F985" s="448"/>
      <c r="G985" s="448"/>
      <c r="H985" s="448"/>
      <c r="I985" s="448"/>
      <c r="J985" s="448"/>
      <c r="K985" s="448"/>
      <c r="L985" s="448"/>
      <c r="M985" s="448"/>
      <c r="N985" s="448"/>
      <c r="O985" s="448"/>
      <c r="P985" s="448"/>
      <c r="Q985" s="448"/>
      <c r="R985" s="448"/>
      <c r="S985" s="448"/>
    </row>
    <row r="986" spans="1:19" x14ac:dyDescent="0.15">
      <c r="A986" s="448"/>
      <c r="B986" s="448"/>
      <c r="C986" s="448"/>
      <c r="D986" s="448"/>
      <c r="E986" s="448"/>
      <c r="F986" s="448"/>
      <c r="G986" s="448"/>
      <c r="H986" s="448"/>
      <c r="I986" s="448"/>
      <c r="J986" s="448"/>
      <c r="K986" s="448"/>
      <c r="L986" s="448"/>
      <c r="M986" s="448"/>
      <c r="N986" s="448"/>
      <c r="O986" s="448"/>
      <c r="P986" s="448"/>
      <c r="Q986" s="448"/>
      <c r="R986" s="448"/>
      <c r="S986" s="448"/>
    </row>
    <row r="987" spans="1:19" x14ac:dyDescent="0.15">
      <c r="A987" s="448"/>
      <c r="B987" s="448"/>
      <c r="C987" s="448"/>
      <c r="D987" s="448"/>
      <c r="E987" s="448"/>
      <c r="F987" s="448"/>
      <c r="G987" s="448"/>
      <c r="H987" s="448"/>
      <c r="I987" s="448"/>
      <c r="J987" s="448"/>
      <c r="K987" s="448"/>
      <c r="L987" s="448"/>
      <c r="M987" s="448"/>
      <c r="N987" s="448"/>
      <c r="O987" s="448"/>
      <c r="P987" s="448"/>
      <c r="Q987" s="448"/>
      <c r="R987" s="448"/>
      <c r="S987" s="448"/>
    </row>
    <row r="988" spans="1:19" x14ac:dyDescent="0.15">
      <c r="A988" s="448"/>
      <c r="B988" s="448"/>
      <c r="C988" s="448"/>
      <c r="D988" s="448"/>
      <c r="E988" s="448"/>
      <c r="F988" s="448"/>
      <c r="G988" s="448"/>
      <c r="H988" s="448"/>
      <c r="I988" s="448"/>
      <c r="J988" s="448"/>
      <c r="K988" s="448"/>
      <c r="L988" s="448"/>
      <c r="M988" s="448"/>
      <c r="N988" s="448"/>
      <c r="O988" s="448"/>
      <c r="P988" s="448"/>
      <c r="Q988" s="448"/>
      <c r="R988" s="448"/>
      <c r="S988" s="448"/>
    </row>
    <row r="989" spans="1:19" x14ac:dyDescent="0.15">
      <c r="A989" s="448"/>
      <c r="B989" s="448"/>
      <c r="C989" s="448"/>
      <c r="D989" s="448"/>
      <c r="E989" s="448"/>
      <c r="F989" s="448"/>
      <c r="G989" s="448"/>
      <c r="H989" s="448"/>
      <c r="I989" s="448"/>
      <c r="J989" s="448"/>
      <c r="K989" s="448"/>
      <c r="L989" s="448"/>
      <c r="M989" s="448"/>
      <c r="N989" s="448"/>
      <c r="O989" s="448"/>
      <c r="P989" s="448"/>
      <c r="Q989" s="448"/>
      <c r="R989" s="448"/>
      <c r="S989" s="448"/>
    </row>
    <row r="990" spans="1:19" x14ac:dyDescent="0.15">
      <c r="A990" s="448"/>
      <c r="B990" s="448"/>
      <c r="C990" s="448"/>
      <c r="D990" s="448"/>
      <c r="E990" s="448"/>
      <c r="F990" s="448"/>
      <c r="G990" s="448"/>
      <c r="H990" s="448"/>
      <c r="I990" s="448"/>
      <c r="J990" s="448"/>
      <c r="K990" s="448"/>
      <c r="L990" s="448"/>
      <c r="M990" s="448"/>
      <c r="N990" s="448"/>
      <c r="O990" s="448"/>
      <c r="P990" s="448"/>
      <c r="Q990" s="448"/>
      <c r="R990" s="448"/>
      <c r="S990" s="448"/>
    </row>
    <row r="991" spans="1:19" x14ac:dyDescent="0.15">
      <c r="A991" s="448"/>
      <c r="B991" s="448"/>
      <c r="C991" s="448"/>
      <c r="D991" s="448"/>
      <c r="E991" s="448"/>
      <c r="F991" s="448"/>
      <c r="G991" s="448"/>
      <c r="H991" s="448"/>
      <c r="I991" s="448"/>
      <c r="J991" s="448"/>
      <c r="K991" s="448"/>
      <c r="L991" s="448"/>
      <c r="M991" s="448"/>
      <c r="N991" s="448"/>
      <c r="O991" s="448"/>
      <c r="P991" s="448"/>
      <c r="Q991" s="448"/>
      <c r="R991" s="448"/>
      <c r="S991" s="448"/>
    </row>
    <row r="992" spans="1:19" x14ac:dyDescent="0.15">
      <c r="A992" s="448"/>
      <c r="B992" s="448"/>
      <c r="C992" s="448"/>
      <c r="D992" s="448"/>
      <c r="E992" s="448"/>
      <c r="F992" s="448"/>
      <c r="G992" s="448"/>
      <c r="H992" s="448"/>
      <c r="I992" s="448"/>
      <c r="J992" s="448"/>
      <c r="K992" s="448"/>
      <c r="L992" s="448"/>
      <c r="M992" s="448"/>
      <c r="N992" s="448"/>
      <c r="O992" s="448"/>
      <c r="P992" s="448"/>
      <c r="Q992" s="448"/>
      <c r="R992" s="448"/>
      <c r="S992" s="448"/>
    </row>
    <row r="993" spans="1:19" x14ac:dyDescent="0.15">
      <c r="A993" s="448"/>
      <c r="B993" s="448"/>
      <c r="C993" s="448"/>
      <c r="D993" s="448"/>
      <c r="E993" s="448"/>
      <c r="F993" s="448"/>
      <c r="G993" s="448"/>
      <c r="H993" s="448"/>
      <c r="I993" s="448"/>
      <c r="J993" s="448"/>
      <c r="K993" s="448"/>
      <c r="L993" s="448"/>
      <c r="M993" s="448"/>
      <c r="N993" s="448"/>
      <c r="O993" s="448"/>
      <c r="P993" s="448"/>
      <c r="Q993" s="448"/>
      <c r="R993" s="448"/>
      <c r="S993" s="448"/>
    </row>
    <row r="994" spans="1:19" x14ac:dyDescent="0.15">
      <c r="A994" s="448"/>
      <c r="B994" s="448"/>
      <c r="C994" s="448"/>
      <c r="D994" s="448"/>
      <c r="E994" s="448"/>
      <c r="F994" s="448"/>
      <c r="G994" s="448"/>
      <c r="H994" s="448"/>
      <c r="I994" s="448"/>
      <c r="J994" s="448"/>
      <c r="K994" s="448"/>
      <c r="L994" s="448"/>
      <c r="M994" s="448"/>
      <c r="N994" s="448"/>
      <c r="O994" s="448"/>
      <c r="P994" s="448"/>
      <c r="Q994" s="448"/>
      <c r="R994" s="448"/>
      <c r="S994" s="448"/>
    </row>
    <row r="995" spans="1:19" x14ac:dyDescent="0.15">
      <c r="A995" s="448"/>
      <c r="B995" s="448"/>
      <c r="C995" s="448"/>
      <c r="D995" s="448"/>
      <c r="E995" s="448"/>
      <c r="F995" s="448"/>
      <c r="G995" s="448"/>
      <c r="H995" s="448"/>
      <c r="I995" s="448"/>
      <c r="J995" s="448"/>
      <c r="K995" s="448"/>
      <c r="L995" s="448"/>
      <c r="M995" s="448"/>
      <c r="N995" s="448"/>
      <c r="O995" s="448"/>
      <c r="P995" s="448"/>
      <c r="Q995" s="448"/>
      <c r="R995" s="448"/>
      <c r="S995" s="448"/>
    </row>
    <row r="996" spans="1:19" x14ac:dyDescent="0.15">
      <c r="A996" s="448"/>
      <c r="B996" s="448"/>
      <c r="C996" s="448"/>
      <c r="D996" s="448"/>
      <c r="E996" s="448"/>
      <c r="F996" s="448"/>
      <c r="G996" s="448"/>
      <c r="H996" s="448"/>
      <c r="I996" s="448"/>
      <c r="J996" s="448"/>
      <c r="K996" s="448"/>
      <c r="L996" s="448"/>
      <c r="M996" s="448"/>
      <c r="N996" s="448"/>
      <c r="O996" s="448"/>
      <c r="P996" s="448"/>
      <c r="Q996" s="448"/>
      <c r="R996" s="448"/>
      <c r="S996" s="448"/>
    </row>
    <row r="997" spans="1:19" x14ac:dyDescent="0.15">
      <c r="A997" s="448"/>
      <c r="B997" s="448"/>
      <c r="C997" s="448"/>
      <c r="D997" s="448"/>
      <c r="E997" s="448"/>
      <c r="F997" s="448"/>
      <c r="G997" s="448"/>
      <c r="H997" s="448"/>
      <c r="I997" s="448"/>
      <c r="J997" s="448"/>
      <c r="K997" s="448"/>
      <c r="L997" s="448"/>
      <c r="M997" s="448"/>
      <c r="N997" s="448"/>
      <c r="O997" s="448"/>
      <c r="P997" s="448"/>
      <c r="Q997" s="448"/>
      <c r="R997" s="448"/>
      <c r="S997" s="448"/>
    </row>
    <row r="998" spans="1:19" x14ac:dyDescent="0.15">
      <c r="A998" s="448"/>
      <c r="B998" s="448"/>
      <c r="C998" s="448"/>
      <c r="D998" s="448"/>
      <c r="E998" s="448"/>
      <c r="F998" s="448"/>
      <c r="G998" s="448"/>
      <c r="H998" s="448"/>
      <c r="I998" s="448"/>
      <c r="J998" s="448"/>
      <c r="K998" s="448"/>
      <c r="L998" s="448"/>
      <c r="M998" s="448"/>
      <c r="N998" s="448"/>
      <c r="O998" s="448"/>
      <c r="P998" s="448"/>
      <c r="Q998" s="448"/>
      <c r="R998" s="448"/>
      <c r="S998" s="448"/>
    </row>
  </sheetData>
  <mergeCells count="3">
    <mergeCell ref="B8:I8"/>
    <mergeCell ref="B3:I3"/>
    <mergeCell ref="C12:I12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8"/>
  <sheetViews>
    <sheetView topLeftCell="A10" zoomScale="151" zoomScaleNormal="151" workbookViewId="0">
      <selection activeCell="C29" sqref="C29"/>
    </sheetView>
  </sheetViews>
  <sheetFormatPr baseColWidth="10" defaultColWidth="14.5" defaultRowHeight="15" customHeight="1" x14ac:dyDescent="0.15"/>
  <cols>
    <col min="1" max="2" width="9.1640625" customWidth="1"/>
    <col min="3" max="3" width="53.33203125" customWidth="1"/>
    <col min="4" max="5" width="14" customWidth="1"/>
    <col min="6" max="6" width="9.5" customWidth="1"/>
    <col min="7" max="7" width="10.33203125" bestFit="1" customWidth="1"/>
    <col min="8" max="26" width="8.66406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969" t="s">
        <v>842</v>
      </c>
      <c r="D3" s="970">
        <v>2023</v>
      </c>
      <c r="E3" s="970">
        <v>2022</v>
      </c>
      <c r="F3" s="970" t="s">
        <v>273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44" t="s">
        <v>274</v>
      </c>
      <c r="D4" s="966">
        <v>3841969</v>
      </c>
      <c r="E4" s="966">
        <v>4475761</v>
      </c>
      <c r="F4" s="57"/>
      <c r="G4" s="4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8" t="s">
        <v>275</v>
      </c>
      <c r="D5" s="967">
        <f>+'RICLASSIFIC. CIVILIST.'!H30+'RICLASSIFIC. CIVILIST.'!H31</f>
        <v>534896</v>
      </c>
      <c r="E5" s="967">
        <v>464957</v>
      </c>
      <c r="F5" s="968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8" t="s">
        <v>276</v>
      </c>
      <c r="D6" s="967">
        <v>0</v>
      </c>
      <c r="E6" s="967">
        <v>984</v>
      </c>
      <c r="F6" s="968"/>
      <c r="G6" s="4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276" t="s">
        <v>1145</v>
      </c>
      <c r="D7" s="967">
        <f>+D37</f>
        <v>1181265</v>
      </c>
      <c r="E7" s="967">
        <v>1078212</v>
      </c>
      <c r="F7" s="968"/>
      <c r="G7" s="4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6" t="s">
        <v>901</v>
      </c>
      <c r="D8" s="967">
        <v>4000</v>
      </c>
      <c r="E8" s="967">
        <v>35408</v>
      </c>
      <c r="F8" s="968"/>
      <c r="G8" s="4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8" t="s">
        <v>277</v>
      </c>
      <c r="D9" s="967">
        <v>0</v>
      </c>
      <c r="E9" s="967">
        <v>0</v>
      </c>
      <c r="F9" s="968"/>
      <c r="G9" s="4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970" t="s">
        <v>278</v>
      </c>
      <c r="D10" s="965">
        <f>+D4-D5-D6-D7-D8</f>
        <v>2121808</v>
      </c>
      <c r="E10" s="965">
        <f>+E4-E5-E6-E7-E8</f>
        <v>2896200</v>
      </c>
      <c r="F10" s="965">
        <f>+D10-E10</f>
        <v>-774392</v>
      </c>
      <c r="G10" s="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46"/>
      <c r="E11" s="46"/>
      <c r="F11" s="46"/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46"/>
      <c r="E12" s="46"/>
      <c r="F12" s="46"/>
      <c r="G12" s="4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46"/>
      <c r="E13" s="46"/>
      <c r="F13" s="46"/>
      <c r="G13" s="4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46"/>
      <c r="E14" s="46"/>
      <c r="F14" s="46"/>
      <c r="G14" s="4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46"/>
      <c r="E15" s="46"/>
      <c r="F15" s="46"/>
      <c r="G15" s="4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46"/>
      <c r="E16" s="46"/>
      <c r="F16" s="46"/>
      <c r="G16" s="4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thickBot="1" x14ac:dyDescent="0.25">
      <c r="A17" s="1"/>
      <c r="B17" s="1"/>
      <c r="C17" s="5" t="s">
        <v>949</v>
      </c>
      <c r="D17" s="46"/>
      <c r="E17" s="46"/>
      <c r="F17" s="46"/>
      <c r="G17" s="4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thickBot="1" x14ac:dyDescent="0.25">
      <c r="A18" s="1"/>
      <c r="B18" s="1"/>
      <c r="C18" s="1023" t="s">
        <v>743</v>
      </c>
      <c r="D18" s="1024"/>
      <c r="E18" s="1024"/>
      <c r="F18" s="1024"/>
      <c r="G18" s="102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3" thickBot="1" x14ac:dyDescent="0.25">
      <c r="A19" s="1"/>
      <c r="B19" s="1"/>
      <c r="C19" s="943" t="s">
        <v>744</v>
      </c>
      <c r="D19" s="944" t="s">
        <v>1133</v>
      </c>
      <c r="E19" s="931" t="s">
        <v>902</v>
      </c>
      <c r="F19" s="931" t="s">
        <v>903</v>
      </c>
      <c r="G19" s="931" t="s">
        <v>904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thickBot="1" x14ac:dyDescent="0.25">
      <c r="A20" s="1"/>
      <c r="B20" s="1"/>
      <c r="C20" s="945" t="s">
        <v>745</v>
      </c>
      <c r="D20" s="932">
        <f>+'RICLASSIFIC. CIVILIST.'!H25</f>
        <v>990771</v>
      </c>
      <c r="E20" s="932">
        <v>1072797</v>
      </c>
      <c r="F20" s="935"/>
      <c r="G20" s="93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thickBot="1" x14ac:dyDescent="0.25">
      <c r="A21" s="1"/>
      <c r="B21" s="1"/>
      <c r="C21" s="945" t="s">
        <v>746</v>
      </c>
      <c r="D21" s="932">
        <f>+'RICLASSIFIC. CIVILIST.'!H26</f>
        <v>272666</v>
      </c>
      <c r="E21" s="932">
        <v>320881</v>
      </c>
      <c r="F21" s="935"/>
      <c r="G21" s="93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thickBot="1" x14ac:dyDescent="0.25">
      <c r="A22" s="1"/>
      <c r="B22" s="1"/>
      <c r="C22" s="945" t="s">
        <v>102</v>
      </c>
      <c r="D22" s="932">
        <v>26654</v>
      </c>
      <c r="E22" s="932">
        <v>33050</v>
      </c>
      <c r="F22" s="935"/>
      <c r="G22" s="93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thickBot="1" x14ac:dyDescent="0.25">
      <c r="A23" s="1"/>
      <c r="B23" s="1"/>
      <c r="C23" s="945" t="s">
        <v>905</v>
      </c>
      <c r="D23" s="932">
        <f>+'RICLASSIFIC. CIVILIST.'!H27</f>
        <v>270392</v>
      </c>
      <c r="E23" s="932">
        <v>178785</v>
      </c>
      <c r="F23" s="935"/>
      <c r="G23" s="93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thickBot="1" x14ac:dyDescent="0.25">
      <c r="A24" s="1"/>
      <c r="B24" s="1"/>
      <c r="C24" s="945" t="s">
        <v>942</v>
      </c>
      <c r="D24" s="932">
        <f>+'RICLASSIFIC. CIVILIST.'!H33+'RICLASSIFIC. CIVILIST.'!H28</f>
        <v>96304</v>
      </c>
      <c r="E24" s="932">
        <v>74068</v>
      </c>
      <c r="F24" s="935"/>
      <c r="G24" s="93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thickBot="1" x14ac:dyDescent="0.25">
      <c r="A25" s="1"/>
      <c r="B25" s="1"/>
      <c r="C25" s="946" t="s">
        <v>315</v>
      </c>
      <c r="D25" s="932">
        <v>87882</v>
      </c>
      <c r="E25" s="933">
        <v>102144</v>
      </c>
      <c r="F25" s="936"/>
      <c r="G25" s="93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thickBot="1" x14ac:dyDescent="0.25">
      <c r="A26" s="1"/>
      <c r="B26" s="1"/>
      <c r="C26" s="947" t="s">
        <v>328</v>
      </c>
      <c r="D26" s="948">
        <f>SUM(D20:D25)</f>
        <v>1744669</v>
      </c>
      <c r="E26" s="934">
        <f>SUM(E20:E25)</f>
        <v>1781725</v>
      </c>
      <c r="F26" s="937"/>
      <c r="G26" s="93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 customHeight="1" thickBot="1" x14ac:dyDescent="0.25">
      <c r="A27" s="1"/>
      <c r="B27" s="1"/>
      <c r="C27" s="949" t="s">
        <v>1134</v>
      </c>
      <c r="D27" s="938">
        <v>38900</v>
      </c>
      <c r="E27" s="938">
        <v>74068</v>
      </c>
      <c r="F27" s="939"/>
      <c r="G27" s="93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 customHeight="1" thickBot="1" x14ac:dyDescent="0.25">
      <c r="A28" s="1"/>
      <c r="B28" s="1"/>
      <c r="C28" s="949" t="s">
        <v>1137</v>
      </c>
      <c r="D28" s="938">
        <v>16000</v>
      </c>
      <c r="E28" s="938">
        <v>0</v>
      </c>
      <c r="F28" s="939"/>
      <c r="G28" s="93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 customHeight="1" thickBot="1" x14ac:dyDescent="0.25">
      <c r="A29" s="1"/>
      <c r="B29" s="1"/>
      <c r="C29" s="950" t="s">
        <v>1135</v>
      </c>
      <c r="D29" s="938">
        <v>55356</v>
      </c>
      <c r="E29" s="938">
        <v>0</v>
      </c>
      <c r="F29" s="941"/>
      <c r="G29" s="94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thickBot="1" x14ac:dyDescent="0.25">
      <c r="A30" s="1"/>
      <c r="B30" s="1"/>
      <c r="C30" s="945" t="s">
        <v>906</v>
      </c>
      <c r="D30" s="932">
        <v>41800</v>
      </c>
      <c r="E30" s="940">
        <v>41800</v>
      </c>
      <c r="F30" s="935"/>
      <c r="G30" s="93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thickBot="1" x14ac:dyDescent="0.25">
      <c r="A31" s="1"/>
      <c r="B31" s="1"/>
      <c r="C31" s="945" t="s">
        <v>907</v>
      </c>
      <c r="D31" s="932">
        <v>50300</v>
      </c>
      <c r="E31" s="940">
        <v>50300</v>
      </c>
      <c r="F31" s="935"/>
      <c r="G31" s="93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thickBot="1" x14ac:dyDescent="0.25">
      <c r="A32" s="1"/>
      <c r="B32" s="1"/>
      <c r="C32" s="945" t="s">
        <v>908</v>
      </c>
      <c r="D32" s="932">
        <v>50400</v>
      </c>
      <c r="E32" s="932">
        <v>50400</v>
      </c>
      <c r="F32" s="935"/>
      <c r="G32" s="93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25">
      <c r="A33" s="1"/>
      <c r="B33" s="1"/>
      <c r="C33" s="945" t="s">
        <v>909</v>
      </c>
      <c r="D33" s="932">
        <v>14400</v>
      </c>
      <c r="E33" s="932">
        <v>14400</v>
      </c>
      <c r="F33" s="935"/>
      <c r="G33" s="93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Bot="1" x14ac:dyDescent="0.25">
      <c r="A34" s="1"/>
      <c r="B34" s="1"/>
      <c r="C34" s="945" t="s">
        <v>747</v>
      </c>
      <c r="D34" s="932">
        <f>49194</f>
        <v>49194</v>
      </c>
      <c r="E34" s="932">
        <v>48399</v>
      </c>
      <c r="F34" s="935"/>
      <c r="G34" s="93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thickBot="1" x14ac:dyDescent="0.25">
      <c r="A35" s="1"/>
      <c r="B35" s="1"/>
      <c r="C35" s="945" t="s">
        <v>748</v>
      </c>
      <c r="D35" s="932">
        <f>45470+26586+120270+34870+11081+1560</f>
        <v>239837</v>
      </c>
      <c r="E35" s="932">
        <v>308278</v>
      </c>
      <c r="F35" s="935"/>
      <c r="G35" s="93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thickBot="1" x14ac:dyDescent="0.25">
      <c r="A36" s="1"/>
      <c r="B36" s="1"/>
      <c r="C36" s="950" t="s">
        <v>1136</v>
      </c>
      <c r="D36" s="951">
        <v>7217</v>
      </c>
      <c r="E36" s="932">
        <v>0</v>
      </c>
      <c r="F36" s="942"/>
      <c r="G36" s="94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thickBot="1" x14ac:dyDescent="0.25">
      <c r="A37" s="1"/>
      <c r="B37" s="1"/>
      <c r="C37" s="952" t="s">
        <v>749</v>
      </c>
      <c r="D37" s="953">
        <f>+D26-D30-D31-D32-D33-D34-D35-D27-D29-D36-D28</f>
        <v>1181265</v>
      </c>
      <c r="E37" s="954">
        <f>+E26-E27-E30-E31-E32-E33-E34-E35</f>
        <v>1194080</v>
      </c>
      <c r="F37" s="954">
        <v>971138</v>
      </c>
      <c r="G37" s="954">
        <v>1240372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thickBot="1" x14ac:dyDescent="0.25">
      <c r="A39" s="1"/>
      <c r="B39" s="1"/>
      <c r="C39" s="957" t="s">
        <v>1143</v>
      </c>
      <c r="D39" s="962">
        <f>+D37-F37</f>
        <v>210127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thickBot="1" x14ac:dyDescent="0.25">
      <c r="A40" s="1"/>
      <c r="B40" s="1"/>
      <c r="C40" s="959" t="s">
        <v>1141</v>
      </c>
      <c r="D40" s="963">
        <f>+E37-F37</f>
        <v>222942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thickBot="1" x14ac:dyDescent="0.25">
      <c r="A41" s="1"/>
      <c r="B41" s="1"/>
      <c r="C41" s="961"/>
      <c r="D41" s="96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thickBot="1" x14ac:dyDescent="0.25">
      <c r="A42" s="1"/>
      <c r="B42" s="1"/>
      <c r="C42" s="957" t="s">
        <v>1144</v>
      </c>
      <c r="D42" s="964">
        <f>+D37-G37</f>
        <v>-59107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thickBot="1" x14ac:dyDescent="0.25">
      <c r="A43" s="1"/>
      <c r="B43" s="1"/>
      <c r="C43" s="959" t="s">
        <v>1142</v>
      </c>
      <c r="D43" s="963">
        <f>+E37-G37</f>
        <v>-46292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thickBot="1" x14ac:dyDescent="0.25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thickBot="1" x14ac:dyDescent="0.25">
      <c r="A46" s="1"/>
      <c r="B46" s="1"/>
      <c r="C46" s="957" t="s">
        <v>943</v>
      </c>
      <c r="D46" s="958">
        <f>+D37</f>
        <v>1181265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thickBot="1" x14ac:dyDescent="0.25">
      <c r="A47" s="1"/>
      <c r="B47" s="1"/>
      <c r="C47" s="955" t="s">
        <v>944</v>
      </c>
      <c r="D47" s="956">
        <f>+D25</f>
        <v>87882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thickBot="1" x14ac:dyDescent="0.25">
      <c r="A48" s="1"/>
      <c r="B48" s="1"/>
      <c r="C48" s="955" t="s">
        <v>945</v>
      </c>
      <c r="D48" s="956">
        <f>+D22</f>
        <v>26654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thickBot="1" x14ac:dyDescent="0.25">
      <c r="A49" s="1"/>
      <c r="B49" s="1"/>
      <c r="C49" s="955" t="s">
        <v>946</v>
      </c>
      <c r="D49" s="956">
        <f>+D35</f>
        <v>239837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25">
      <c r="A50" s="1"/>
      <c r="B50" s="1"/>
      <c r="C50" s="955" t="s">
        <v>1140</v>
      </c>
      <c r="D50" s="956">
        <f>+D36</f>
        <v>7217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thickBot="1" x14ac:dyDescent="0.25">
      <c r="A51" s="1"/>
      <c r="B51" s="1"/>
      <c r="C51" s="955" t="s">
        <v>947</v>
      </c>
      <c r="D51" s="956">
        <f>+D34</f>
        <v>49194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thickBot="1" x14ac:dyDescent="0.25">
      <c r="A52" s="1"/>
      <c r="B52" s="1"/>
      <c r="C52" s="955" t="s">
        <v>1139</v>
      </c>
      <c r="D52" s="956">
        <f>+D30+D27+D28+D29</f>
        <v>152056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thickBot="1" x14ac:dyDescent="0.25">
      <c r="A53" s="1"/>
      <c r="B53" s="1"/>
      <c r="C53" s="955" t="s">
        <v>948</v>
      </c>
      <c r="D53" s="956">
        <f>+D31+D32+D33</f>
        <v>115100</v>
      </c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thickBot="1" x14ac:dyDescent="0.25">
      <c r="A54" s="1"/>
      <c r="B54" s="1"/>
      <c r="C54" s="959" t="s">
        <v>1138</v>
      </c>
      <c r="D54" s="960">
        <f>+D46-D47-D48+D49+D51+D52+D53+D50</f>
        <v>1630133</v>
      </c>
      <c r="E54" s="300"/>
      <c r="F54" s="300"/>
      <c r="G54" s="300"/>
      <c r="H54" s="30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300"/>
      <c r="E55" s="300"/>
      <c r="F55" s="300"/>
      <c r="G55" s="300"/>
      <c r="H55" s="30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300"/>
      <c r="E56" s="300"/>
      <c r="F56" s="300"/>
      <c r="G56" s="300"/>
      <c r="H56" s="30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300"/>
      <c r="E57" s="300"/>
      <c r="F57" s="300"/>
      <c r="G57" s="300"/>
      <c r="H57" s="30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300"/>
      <c r="E58" s="300"/>
      <c r="F58" s="300"/>
      <c r="G58" s="300"/>
      <c r="H58" s="30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300"/>
      <c r="E59" s="300"/>
      <c r="F59" s="300"/>
      <c r="G59" s="300"/>
      <c r="H59" s="30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00"/>
      <c r="E60" s="300"/>
      <c r="F60" s="300"/>
      <c r="G60" s="300"/>
      <c r="H60" s="30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0"/>
      <c r="E61" s="300"/>
      <c r="F61" s="300"/>
      <c r="G61" s="300"/>
      <c r="H61" s="30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300"/>
      <c r="E62" s="300"/>
      <c r="F62" s="300"/>
      <c r="G62" s="300"/>
      <c r="H62" s="30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300"/>
      <c r="E63" s="300"/>
      <c r="F63" s="300"/>
      <c r="G63" s="300"/>
      <c r="H63" s="30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300"/>
      <c r="E64" s="300"/>
      <c r="F64" s="300"/>
      <c r="G64" s="300"/>
      <c r="H64" s="30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300"/>
      <c r="E65" s="300"/>
      <c r="F65" s="300"/>
      <c r="G65" s="300"/>
      <c r="H65" s="30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300"/>
      <c r="E66" s="300"/>
      <c r="F66" s="300"/>
      <c r="G66" s="300"/>
      <c r="H66" s="30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300"/>
      <c r="E67" s="300"/>
      <c r="F67" s="300"/>
      <c r="G67" s="300"/>
      <c r="H67" s="30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300"/>
      <c r="E68" s="300"/>
      <c r="F68" s="300"/>
      <c r="G68" s="300"/>
      <c r="H68" s="30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300"/>
      <c r="E69" s="300"/>
      <c r="F69" s="300"/>
      <c r="G69" s="300"/>
      <c r="H69" s="30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300"/>
      <c r="E70" s="300"/>
      <c r="F70" s="300"/>
      <c r="G70" s="300"/>
      <c r="H70" s="30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300"/>
      <c r="E71" s="300"/>
      <c r="F71" s="300"/>
      <c r="G71" s="300"/>
      <c r="H71" s="30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300"/>
      <c r="E72" s="300"/>
      <c r="F72" s="300"/>
      <c r="G72" s="300"/>
      <c r="H72" s="30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300"/>
      <c r="E73" s="300"/>
      <c r="F73" s="300"/>
      <c r="G73" s="300"/>
      <c r="H73" s="30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300"/>
      <c r="E74" s="300"/>
      <c r="F74" s="300"/>
      <c r="G74" s="300"/>
      <c r="H74" s="30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300"/>
      <c r="E75" s="300"/>
      <c r="F75" s="300"/>
      <c r="G75" s="300"/>
      <c r="H75" s="30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300"/>
      <c r="E76" s="300"/>
      <c r="F76" s="300"/>
      <c r="G76" s="300"/>
      <c r="H76" s="30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00"/>
      <c r="E77" s="300"/>
      <c r="F77" s="300"/>
      <c r="G77" s="300"/>
      <c r="H77" s="30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300"/>
      <c r="E78" s="300"/>
      <c r="F78" s="300"/>
      <c r="G78" s="300"/>
      <c r="H78" s="30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300"/>
      <c r="E79" s="300"/>
      <c r="F79" s="300"/>
      <c r="G79" s="300"/>
      <c r="H79" s="30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300"/>
      <c r="E80" s="300"/>
      <c r="F80" s="300"/>
      <c r="G80" s="300"/>
      <c r="H80" s="30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300"/>
      <c r="E81" s="300"/>
      <c r="F81" s="300"/>
      <c r="G81" s="300"/>
      <c r="H81" s="30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00"/>
      <c r="E82" s="300"/>
      <c r="F82" s="300"/>
      <c r="G82" s="300"/>
      <c r="H82" s="30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00"/>
      <c r="E83" s="300"/>
      <c r="F83" s="300"/>
      <c r="G83" s="300"/>
      <c r="H83" s="30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300"/>
      <c r="E84" s="300"/>
      <c r="F84" s="300"/>
      <c r="G84" s="300"/>
      <c r="H84" s="30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300"/>
      <c r="E85" s="300"/>
      <c r="F85" s="300"/>
      <c r="G85" s="300"/>
      <c r="H85" s="30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300"/>
      <c r="E86" s="300"/>
      <c r="F86" s="300"/>
      <c r="G86" s="300"/>
      <c r="H86" s="30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300"/>
      <c r="E87" s="300"/>
      <c r="F87" s="300"/>
      <c r="G87" s="300"/>
      <c r="H87" s="30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300"/>
      <c r="E88" s="300"/>
      <c r="F88" s="300"/>
      <c r="G88" s="300"/>
      <c r="H88" s="30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00"/>
      <c r="E89" s="300"/>
      <c r="F89" s="300"/>
      <c r="G89" s="300"/>
      <c r="H89" s="30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C18:G18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199"/>
  <sheetViews>
    <sheetView topLeftCell="T1" zoomScale="98" zoomScaleNormal="98" workbookViewId="0">
      <selection activeCell="A16" sqref="A16"/>
    </sheetView>
  </sheetViews>
  <sheetFormatPr baseColWidth="10" defaultColWidth="14.5" defaultRowHeight="15" customHeight="1" x14ac:dyDescent="0.2"/>
  <cols>
    <col min="1" max="1" width="36.5" style="357" customWidth="1"/>
    <col min="2" max="3" width="17.6640625" style="357" bestFit="1" customWidth="1"/>
    <col min="4" max="4" width="18.1640625" style="357" bestFit="1" customWidth="1"/>
    <col min="5" max="5" width="12.83203125" style="357" customWidth="1"/>
    <col min="6" max="6" width="9.5" style="357" customWidth="1"/>
    <col min="7" max="7" width="43" style="357" customWidth="1"/>
    <col min="8" max="8" width="24.33203125" style="357" customWidth="1"/>
    <col min="9" max="9" width="25.33203125" style="357" customWidth="1"/>
    <col min="10" max="10" width="14.5" style="357" customWidth="1"/>
    <col min="11" max="11" width="22.5" style="357" bestFit="1" customWidth="1"/>
    <col min="12" max="12" width="21.5" style="357" customWidth="1"/>
    <col min="13" max="13" width="12.5" style="357" customWidth="1"/>
    <col min="14" max="14" width="9.33203125" style="357" customWidth="1"/>
    <col min="15" max="15" width="42.5" style="357" customWidth="1"/>
    <col min="16" max="16384" width="14.5" style="357"/>
  </cols>
  <sheetData>
    <row r="1" spans="1:15" ht="15" customHeight="1" thickBot="1" x14ac:dyDescent="0.25">
      <c r="A1" s="368" t="s">
        <v>792</v>
      </c>
      <c r="J1" s="368" t="s">
        <v>779</v>
      </c>
    </row>
    <row r="2" spans="1:15" ht="15" customHeight="1" thickBot="1" x14ac:dyDescent="0.25"/>
    <row r="3" spans="1:15" ht="16" x14ac:dyDescent="0.2">
      <c r="F3" s="360"/>
      <c r="J3" s="1026" t="s">
        <v>167</v>
      </c>
      <c r="K3" s="456" t="s">
        <v>773</v>
      </c>
      <c r="L3" s="456" t="s">
        <v>774</v>
      </c>
      <c r="M3" s="456" t="s">
        <v>774</v>
      </c>
      <c r="N3" s="1028" t="s">
        <v>155</v>
      </c>
    </row>
    <row r="4" spans="1:15" ht="16" x14ac:dyDescent="0.2">
      <c r="A4" s="590" t="s">
        <v>167</v>
      </c>
      <c r="B4" s="590" t="s">
        <v>930</v>
      </c>
      <c r="C4" s="590" t="s">
        <v>804</v>
      </c>
      <c r="D4" s="590" t="s">
        <v>280</v>
      </c>
      <c r="F4" s="353"/>
      <c r="J4" s="1027"/>
      <c r="K4" s="457" t="s">
        <v>62</v>
      </c>
      <c r="L4" s="457" t="s">
        <v>62</v>
      </c>
      <c r="M4" s="457" t="s">
        <v>775</v>
      </c>
      <c r="N4" s="1029"/>
    </row>
    <row r="5" spans="1:15" ht="16" x14ac:dyDescent="0.2">
      <c r="A5" s="591" t="s">
        <v>281</v>
      </c>
      <c r="B5" s="592">
        <f>+'RICLASSIFIC. CIVILIST.'!B67</f>
        <v>601632</v>
      </c>
      <c r="C5" s="592">
        <f>+'RICLASSIFIC. CIVILIST.'!C67</f>
        <v>447917</v>
      </c>
      <c r="D5" s="593">
        <f t="shared" ref="D5:D10" si="0">B5-C5</f>
        <v>153715</v>
      </c>
      <c r="F5" s="353"/>
      <c r="J5" s="458" t="s">
        <v>776</v>
      </c>
      <c r="K5" s="459">
        <f>+'RICLASSIFIC. CIVILIST.'!B26</f>
        <v>110900</v>
      </c>
      <c r="L5" s="459">
        <v>0</v>
      </c>
      <c r="M5" s="459">
        <v>0</v>
      </c>
      <c r="N5" s="460">
        <f>+K5</f>
        <v>110900</v>
      </c>
    </row>
    <row r="6" spans="1:15" ht="17.25" customHeight="1" x14ac:dyDescent="0.2">
      <c r="A6" s="591" t="s">
        <v>282</v>
      </c>
      <c r="B6" s="592">
        <f>+'RICLASSIFIC. CIVILIST.'!B69</f>
        <v>130667</v>
      </c>
      <c r="C6" s="592">
        <f>+'RICLASSIFIC. CIVILIST.'!C69</f>
        <v>213189</v>
      </c>
      <c r="D6" s="593">
        <f t="shared" si="0"/>
        <v>-82522</v>
      </c>
      <c r="F6" s="353"/>
      <c r="J6" s="458" t="s">
        <v>854</v>
      </c>
      <c r="K6" s="459">
        <f>+'RICLASSIFIC. CIVILIST.'!B30</f>
        <v>61314</v>
      </c>
      <c r="L6" s="459">
        <v>0</v>
      </c>
      <c r="M6" s="459">
        <v>0</v>
      </c>
      <c r="N6" s="460">
        <f>+K6</f>
        <v>61314</v>
      </c>
    </row>
    <row r="7" spans="1:15" ht="15.75" customHeight="1" x14ac:dyDescent="0.2">
      <c r="A7" s="591" t="s">
        <v>283</v>
      </c>
      <c r="B7" s="592">
        <f>+'RICLASSIFIC. CIVILIST.'!B71</f>
        <v>64396</v>
      </c>
      <c r="C7" s="592">
        <f>+'RICLASSIFIC. CIVILIST.'!C71</f>
        <v>68301</v>
      </c>
      <c r="D7" s="593">
        <f t="shared" si="0"/>
        <v>-3905</v>
      </c>
      <c r="F7" s="353"/>
      <c r="J7" s="458" t="s">
        <v>777</v>
      </c>
      <c r="K7" s="459">
        <f>+'RICLASSIFIC. CIVILIST.'!B32</f>
        <v>4909</v>
      </c>
      <c r="L7" s="459">
        <v>0</v>
      </c>
      <c r="M7" s="459">
        <v>0</v>
      </c>
      <c r="N7" s="460">
        <f>+K7</f>
        <v>4909</v>
      </c>
    </row>
    <row r="8" spans="1:15" ht="16" x14ac:dyDescent="0.2">
      <c r="A8" s="591" t="s">
        <v>284</v>
      </c>
      <c r="B8" s="592">
        <f>+'RICLASSIFIC. CIVILIST.'!B73</f>
        <v>69032</v>
      </c>
      <c r="C8" s="592">
        <f>+'RICLASSIFIC. CIVILIST.'!C73</f>
        <v>59241</v>
      </c>
      <c r="D8" s="593">
        <f t="shared" si="0"/>
        <v>9791</v>
      </c>
      <c r="F8" s="353"/>
      <c r="J8" s="458" t="s">
        <v>778</v>
      </c>
      <c r="K8" s="459">
        <f>+'RICLASSIFIC. CIVILIST.'!B34</f>
        <v>286639</v>
      </c>
      <c r="L8" s="459">
        <v>0</v>
      </c>
      <c r="M8" s="459">
        <v>0</v>
      </c>
      <c r="N8" s="460">
        <f>+K8</f>
        <v>286639</v>
      </c>
    </row>
    <row r="9" spans="1:15" ht="17" thickBot="1" x14ac:dyDescent="0.25">
      <c r="A9" s="591" t="s">
        <v>285</v>
      </c>
      <c r="B9" s="592">
        <f>+'RICLASSIFIC. CIVILIST.'!B75</f>
        <v>2204</v>
      </c>
      <c r="C9" s="592">
        <f>+'RICLASSIFIC. CIVILIST.'!C75</f>
        <v>637</v>
      </c>
      <c r="D9" s="593">
        <f t="shared" si="0"/>
        <v>1567</v>
      </c>
      <c r="F9" s="369"/>
      <c r="J9" s="461" t="s">
        <v>155</v>
      </c>
      <c r="K9" s="462">
        <f>SUM(K5:K8)</f>
        <v>463762</v>
      </c>
      <c r="L9" s="462">
        <v>0</v>
      </c>
      <c r="M9" s="462">
        <v>0</v>
      </c>
      <c r="N9" s="463">
        <f>SUM(N5:N8)</f>
        <v>463762</v>
      </c>
    </row>
    <row r="10" spans="1:15" ht="16" x14ac:dyDescent="0.2">
      <c r="A10" s="594" t="s">
        <v>155</v>
      </c>
      <c r="B10" s="595">
        <f>SUM(B5:B9)</f>
        <v>867931</v>
      </c>
      <c r="C10" s="595">
        <f>SUM(C5:C9)</f>
        <v>789285</v>
      </c>
      <c r="D10" s="596">
        <f t="shared" si="0"/>
        <v>78646</v>
      </c>
    </row>
    <row r="11" spans="1:15" x14ac:dyDescent="0.2">
      <c r="A11" s="361"/>
      <c r="B11" s="369"/>
      <c r="C11" s="369"/>
      <c r="D11" s="370"/>
    </row>
    <row r="12" spans="1:15" ht="16" thickBot="1" x14ac:dyDescent="0.25">
      <c r="A12" s="361"/>
      <c r="B12" s="369"/>
      <c r="C12" s="369"/>
      <c r="D12" s="370"/>
    </row>
    <row r="13" spans="1:15" ht="15" customHeight="1" thickBot="1" x14ac:dyDescent="0.25">
      <c r="A13" s="1034" t="s">
        <v>814</v>
      </c>
      <c r="B13" s="1035"/>
      <c r="C13" s="1035"/>
      <c r="D13" s="1035"/>
      <c r="E13" s="1035"/>
      <c r="F13" s="1035"/>
      <c r="G13" s="1036"/>
      <c r="I13" s="1034" t="s">
        <v>805</v>
      </c>
      <c r="J13" s="1035"/>
      <c r="K13" s="1035"/>
      <c r="L13" s="1035"/>
      <c r="M13" s="1035"/>
      <c r="N13" s="1035"/>
      <c r="O13" s="1036"/>
    </row>
    <row r="15" spans="1:15" ht="77.25" customHeight="1" x14ac:dyDescent="0.2">
      <c r="A15" s="419"/>
      <c r="B15" s="419"/>
      <c r="C15" s="419"/>
      <c r="D15" s="419"/>
      <c r="E15" s="419"/>
      <c r="F15" s="419"/>
      <c r="G15" s="420"/>
      <c r="I15" s="371" t="s">
        <v>286</v>
      </c>
      <c r="J15" s="371" t="s">
        <v>287</v>
      </c>
      <c r="K15" s="371" t="s">
        <v>288</v>
      </c>
      <c r="L15" s="371" t="s">
        <v>289</v>
      </c>
      <c r="M15" s="371" t="s">
        <v>290</v>
      </c>
      <c r="N15" s="371" t="s">
        <v>291</v>
      </c>
      <c r="O15" s="372" t="s">
        <v>170</v>
      </c>
    </row>
    <row r="16" spans="1:15" ht="80" x14ac:dyDescent="0.2">
      <c r="E16" s="423"/>
      <c r="F16" s="423"/>
      <c r="G16" s="424"/>
      <c r="I16" s="373" t="s">
        <v>653</v>
      </c>
      <c r="J16" s="374">
        <v>2020</v>
      </c>
      <c r="K16" s="375">
        <f>190000-26383</f>
        <v>163617</v>
      </c>
      <c r="L16" s="375">
        <v>10830</v>
      </c>
      <c r="M16" s="375">
        <v>152787</v>
      </c>
      <c r="N16" s="376">
        <v>0</v>
      </c>
      <c r="O16" s="377" t="s">
        <v>807</v>
      </c>
    </row>
    <row r="17" spans="1:15" ht="64" x14ac:dyDescent="0.2">
      <c r="E17" s="423"/>
      <c r="F17" s="423"/>
      <c r="G17" s="358"/>
      <c r="I17" s="378" t="s">
        <v>654</v>
      </c>
      <c r="J17" s="379">
        <v>2020</v>
      </c>
      <c r="K17" s="380">
        <f>47762+12589</f>
        <v>60351</v>
      </c>
      <c r="L17" s="380">
        <v>12589</v>
      </c>
      <c r="M17" s="380">
        <v>9440</v>
      </c>
      <c r="N17" s="381">
        <f>K17-L17-M17</f>
        <v>38322</v>
      </c>
      <c r="O17" s="382" t="s">
        <v>806</v>
      </c>
    </row>
    <row r="18" spans="1:15" ht="32" x14ac:dyDescent="0.2">
      <c r="A18" s="1032" t="s">
        <v>176</v>
      </c>
      <c r="B18" s="1033"/>
      <c r="C18" s="1033"/>
      <c r="D18" s="1033"/>
      <c r="E18" s="423"/>
      <c r="F18" s="423"/>
      <c r="G18" s="358"/>
      <c r="I18" s="373" t="s">
        <v>607</v>
      </c>
      <c r="J18" s="383">
        <v>2020</v>
      </c>
      <c r="K18" s="384">
        <v>179375</v>
      </c>
      <c r="L18" s="384">
        <v>38754</v>
      </c>
      <c r="M18" s="384">
        <v>140621</v>
      </c>
      <c r="N18" s="385">
        <f>K18-L18-M18</f>
        <v>0</v>
      </c>
      <c r="O18" s="386" t="s">
        <v>655</v>
      </c>
    </row>
    <row r="19" spans="1:15" ht="16" x14ac:dyDescent="0.2">
      <c r="A19" s="535" t="s">
        <v>298</v>
      </c>
      <c r="B19" s="535" t="s">
        <v>910</v>
      </c>
      <c r="C19" s="535" t="s">
        <v>815</v>
      </c>
      <c r="D19" s="535" t="s">
        <v>142</v>
      </c>
      <c r="E19" s="423"/>
      <c r="F19" s="423"/>
      <c r="G19" s="358"/>
      <c r="I19" s="373"/>
      <c r="J19" s="383"/>
      <c r="K19" s="384"/>
      <c r="L19" s="384"/>
      <c r="M19" s="384"/>
      <c r="N19" s="385"/>
      <c r="O19" s="386"/>
    </row>
    <row r="20" spans="1:15" ht="16" x14ac:dyDescent="0.2">
      <c r="A20" s="536" t="s">
        <v>299</v>
      </c>
      <c r="B20" s="537">
        <f>'RICLASSIFIC. CIVILIST.'!H8</f>
        <v>128904</v>
      </c>
      <c r="C20" s="537">
        <f>'RICLASSIFIC. CIVILIST.'!I8</f>
        <v>83575</v>
      </c>
      <c r="D20" s="537">
        <f>+B20-C20</f>
        <v>45329</v>
      </c>
      <c r="E20" s="423"/>
      <c r="F20" s="423"/>
      <c r="G20" s="358"/>
      <c r="I20" s="387"/>
      <c r="J20" s="388"/>
      <c r="K20" s="389">
        <f>SUM(K16:K19)</f>
        <v>403343</v>
      </c>
      <c r="L20" s="389">
        <f>SUM(L16:L19)</f>
        <v>62173</v>
      </c>
      <c r="M20" s="389">
        <f>SUM(M16:M19)</f>
        <v>302848</v>
      </c>
      <c r="N20" s="389">
        <f>SUM(N16:N19)</f>
        <v>38322</v>
      </c>
      <c r="O20" s="390"/>
    </row>
    <row r="21" spans="1:15" ht="15" customHeight="1" x14ac:dyDescent="0.2">
      <c r="A21" s="536" t="s">
        <v>300</v>
      </c>
      <c r="B21" s="537">
        <f>'RICLASSIFIC. CIVILIST.'!H5+'RICLASSIFIC. CIVILIST.'!H6+'RICLASSIFIC. CIVILIST.'!H10</f>
        <v>2177522</v>
      </c>
      <c r="C21" s="537">
        <f>'RICLASSIFIC. CIVILIST.'!I5+'RICLASSIFIC. CIVILIST.'!I6</f>
        <v>2304322</v>
      </c>
      <c r="D21" s="537">
        <f>+B21-C21</f>
        <v>-126800</v>
      </c>
      <c r="E21" s="423"/>
      <c r="F21" s="423"/>
      <c r="G21" s="358"/>
      <c r="I21" s="391"/>
      <c r="J21" s="392"/>
      <c r="K21" s="393"/>
      <c r="L21" s="393"/>
      <c r="M21" s="393"/>
      <c r="N21" s="393"/>
      <c r="O21" s="394"/>
    </row>
    <row r="22" spans="1:15" ht="32" x14ac:dyDescent="0.2">
      <c r="A22" s="536" t="s">
        <v>301</v>
      </c>
      <c r="B22" s="537">
        <f>'RICLASSIFIC. CIVILIST.'!H7</f>
        <v>1175168</v>
      </c>
      <c r="C22" s="537">
        <f>'RICLASSIFIC. CIVILIST.'!I7</f>
        <v>1605471</v>
      </c>
      <c r="D22" s="537">
        <f>+B22-C22</f>
        <v>-430303</v>
      </c>
      <c r="E22" s="423"/>
      <c r="F22" s="423"/>
      <c r="G22" s="358"/>
      <c r="I22" s="391"/>
      <c r="J22" s="392"/>
      <c r="K22" s="393"/>
      <c r="L22" s="395"/>
      <c r="M22" s="393"/>
      <c r="N22" s="393"/>
      <c r="O22" s="394"/>
    </row>
    <row r="23" spans="1:15" ht="33" thickBot="1" x14ac:dyDescent="0.25">
      <c r="A23" s="536" t="s">
        <v>302</v>
      </c>
      <c r="B23" s="537">
        <f>'RICLASSIFIC. CIVILIST.'!H14</f>
        <v>436071</v>
      </c>
      <c r="C23" s="537">
        <f>'RICLASSIFIC. CIVILIST.'!I14</f>
        <v>507703</v>
      </c>
      <c r="D23" s="537">
        <f>+B23-C23</f>
        <v>-71632</v>
      </c>
      <c r="E23" s="423"/>
      <c r="F23" s="423"/>
      <c r="G23" s="358"/>
      <c r="I23" s="391"/>
      <c r="J23" s="392"/>
      <c r="K23" s="393"/>
      <c r="L23" s="395"/>
      <c r="M23" s="393"/>
      <c r="N23" s="393"/>
      <c r="O23" s="394"/>
    </row>
    <row r="24" spans="1:15" ht="33" thickBot="1" x14ac:dyDescent="0.25">
      <c r="A24" s="536" t="s">
        <v>303</v>
      </c>
      <c r="B24" s="537">
        <f>'RICLASSIFIC. CIVILIST.'!H13</f>
        <v>989</v>
      </c>
      <c r="C24" s="537">
        <f>'RICLASSIFIC. CIVILIST.'!I13</f>
        <v>5368</v>
      </c>
      <c r="D24" s="537">
        <f>+B24-C24</f>
        <v>-4379</v>
      </c>
      <c r="E24" s="423"/>
      <c r="F24" s="423"/>
      <c r="G24" s="358"/>
      <c r="I24" s="518" t="s">
        <v>791</v>
      </c>
      <c r="J24" s="519"/>
      <c r="K24" s="588"/>
      <c r="L24" s="588"/>
      <c r="M24" s="588"/>
      <c r="O24" s="394"/>
    </row>
    <row r="25" spans="1:15" ht="16" x14ac:dyDescent="0.2">
      <c r="A25" s="614" t="s">
        <v>196</v>
      </c>
      <c r="B25" s="538">
        <f>SUM(B20:B24)</f>
        <v>3918654</v>
      </c>
      <c r="C25" s="538">
        <f>SUM(C20:C24)</f>
        <v>4506439</v>
      </c>
      <c r="D25" s="538">
        <f>B25-C25</f>
        <v>-587785</v>
      </c>
      <c r="E25" s="423"/>
      <c r="F25" s="423"/>
      <c r="G25" s="358"/>
      <c r="I25" s="588"/>
      <c r="J25" s="588"/>
      <c r="K25" s="588"/>
      <c r="L25" s="588"/>
      <c r="M25" s="588"/>
      <c r="O25" s="396"/>
    </row>
    <row r="26" spans="1:15" ht="16" x14ac:dyDescent="0.2">
      <c r="A26" s="425"/>
      <c r="B26" s="422"/>
      <c r="C26" s="423"/>
      <c r="D26" s="423"/>
      <c r="E26" s="423"/>
      <c r="F26" s="423"/>
      <c r="G26" s="424"/>
      <c r="I26" s="520" t="s">
        <v>167</v>
      </c>
      <c r="J26" s="521">
        <v>44561</v>
      </c>
      <c r="K26" s="520" t="s">
        <v>781</v>
      </c>
      <c r="L26" s="520" t="s">
        <v>782</v>
      </c>
      <c r="M26" s="521">
        <v>44926</v>
      </c>
      <c r="O26" s="396"/>
    </row>
    <row r="27" spans="1:15" ht="16" x14ac:dyDescent="0.2">
      <c r="A27" s="425"/>
      <c r="B27" s="422"/>
      <c r="C27" s="423"/>
      <c r="D27" s="423"/>
      <c r="E27" s="423"/>
      <c r="F27" s="423"/>
      <c r="G27" s="358"/>
      <c r="I27" s="522" t="s">
        <v>783</v>
      </c>
      <c r="J27" s="523">
        <v>166600</v>
      </c>
      <c r="K27" s="523">
        <v>0</v>
      </c>
      <c r="L27" s="523">
        <v>0</v>
      </c>
      <c r="M27" s="524">
        <f>+J27+K27-L27</f>
        <v>166600</v>
      </c>
      <c r="O27" s="394"/>
    </row>
    <row r="28" spans="1:15" ht="16" x14ac:dyDescent="0.2">
      <c r="A28" s="425"/>
      <c r="B28" s="422"/>
      <c r="C28" s="423"/>
      <c r="D28" s="423"/>
      <c r="E28" s="423"/>
      <c r="F28" s="423"/>
      <c r="G28" s="358"/>
      <c r="I28" s="522" t="s">
        <v>784</v>
      </c>
      <c r="J28" s="523">
        <v>717562</v>
      </c>
      <c r="K28" s="523">
        <v>26967</v>
      </c>
      <c r="L28" s="523">
        <v>0</v>
      </c>
      <c r="M28" s="524">
        <f t="shared" ref="M28:M34" si="1">+J28+K28-L28</f>
        <v>744529</v>
      </c>
    </row>
    <row r="29" spans="1:15" ht="69" customHeight="1" x14ac:dyDescent="0.2">
      <c r="A29" s="425"/>
      <c r="B29" s="422"/>
      <c r="C29" s="423"/>
      <c r="D29" s="423"/>
      <c r="E29" s="423"/>
      <c r="F29" s="423"/>
      <c r="G29" s="424"/>
      <c r="I29" s="525" t="s">
        <v>785</v>
      </c>
      <c r="J29" s="526">
        <v>137423</v>
      </c>
      <c r="K29" s="526">
        <v>5393.37</v>
      </c>
      <c r="L29" s="526">
        <v>0</v>
      </c>
      <c r="M29" s="526">
        <f t="shared" si="1"/>
        <v>142816.37</v>
      </c>
    </row>
    <row r="30" spans="1:15" ht="32" x14ac:dyDescent="0.2">
      <c r="A30" s="425"/>
      <c r="B30" s="422"/>
      <c r="C30" s="423"/>
      <c r="D30" s="423"/>
      <c r="E30" s="423"/>
      <c r="F30" s="423"/>
      <c r="G30" s="424"/>
      <c r="I30" s="525" t="s">
        <v>786</v>
      </c>
      <c r="J30" s="526">
        <v>580139</v>
      </c>
      <c r="K30" s="526">
        <v>21574</v>
      </c>
      <c r="L30" s="526">
        <v>0</v>
      </c>
      <c r="M30" s="526">
        <f t="shared" si="1"/>
        <v>601713</v>
      </c>
    </row>
    <row r="31" spans="1:15" ht="16" x14ac:dyDescent="0.2">
      <c r="A31" s="425"/>
      <c r="B31" s="426"/>
      <c r="C31" s="423"/>
      <c r="D31" s="423"/>
      <c r="E31" s="423"/>
      <c r="F31" s="423"/>
      <c r="G31" s="358"/>
      <c r="I31" s="525" t="s">
        <v>787</v>
      </c>
      <c r="J31" s="526">
        <v>0</v>
      </c>
      <c r="K31" s="526">
        <v>0</v>
      </c>
      <c r="L31" s="526">
        <v>0</v>
      </c>
      <c r="M31" s="524">
        <f t="shared" si="1"/>
        <v>0</v>
      </c>
    </row>
    <row r="32" spans="1:15" ht="16" x14ac:dyDescent="0.2">
      <c r="A32" s="421"/>
      <c r="B32" s="426"/>
      <c r="C32" s="423"/>
      <c r="D32" s="423"/>
      <c r="E32" s="423"/>
      <c r="F32" s="423"/>
      <c r="G32" s="358"/>
      <c r="I32" s="522" t="s">
        <v>788</v>
      </c>
      <c r="J32" s="523">
        <v>0</v>
      </c>
      <c r="K32" s="523">
        <v>0</v>
      </c>
      <c r="L32" s="523">
        <v>0</v>
      </c>
      <c r="M32" s="524">
        <f t="shared" si="1"/>
        <v>0</v>
      </c>
    </row>
    <row r="33" spans="1:13" ht="32" x14ac:dyDescent="0.2">
      <c r="A33" s="421"/>
      <c r="B33" s="426"/>
      <c r="C33" s="423"/>
      <c r="D33" s="423"/>
      <c r="E33" s="423"/>
      <c r="F33" s="423"/>
      <c r="G33" s="358"/>
      <c r="I33" s="522" t="s">
        <v>789</v>
      </c>
      <c r="J33" s="523">
        <v>0</v>
      </c>
      <c r="K33" s="523">
        <v>0</v>
      </c>
      <c r="L33" s="523">
        <v>0</v>
      </c>
      <c r="M33" s="524">
        <f t="shared" si="1"/>
        <v>0</v>
      </c>
    </row>
    <row r="34" spans="1:13" ht="16" x14ac:dyDescent="0.2">
      <c r="A34" s="421"/>
      <c r="B34" s="426"/>
      <c r="C34" s="423"/>
      <c r="D34" s="423"/>
      <c r="E34" s="423"/>
      <c r="F34" s="423"/>
      <c r="G34" s="358"/>
      <c r="I34" s="522" t="s">
        <v>790</v>
      </c>
      <c r="J34" s="523">
        <v>26967</v>
      </c>
      <c r="K34" s="523">
        <f>+'RICLASSIFIC. CIVILIST.'!H52</f>
        <v>7361</v>
      </c>
      <c r="L34" s="523">
        <v>26967</v>
      </c>
      <c r="M34" s="524">
        <f t="shared" si="1"/>
        <v>7361</v>
      </c>
    </row>
    <row r="35" spans="1:13" x14ac:dyDescent="0.2">
      <c r="A35" s="421"/>
      <c r="B35" s="426"/>
      <c r="C35" s="423"/>
      <c r="D35" s="423"/>
      <c r="E35" s="423"/>
      <c r="F35" s="423"/>
      <c r="G35" s="358"/>
    </row>
    <row r="36" spans="1:13" x14ac:dyDescent="0.2">
      <c r="A36" s="421"/>
      <c r="B36" s="426"/>
      <c r="C36" s="427"/>
      <c r="D36" s="427"/>
      <c r="E36" s="427"/>
      <c r="F36" s="423"/>
      <c r="G36" s="358"/>
    </row>
    <row r="37" spans="1:13" x14ac:dyDescent="0.2">
      <c r="A37" s="421"/>
      <c r="B37" s="394"/>
      <c r="C37" s="427"/>
      <c r="D37" s="427"/>
      <c r="E37" s="427"/>
      <c r="F37" s="423"/>
      <c r="G37" s="424"/>
    </row>
    <row r="38" spans="1:13" ht="16" x14ac:dyDescent="0.2">
      <c r="A38" s="421"/>
      <c r="B38" s="394"/>
      <c r="C38" s="427"/>
      <c r="D38" s="427"/>
      <c r="E38" s="427"/>
      <c r="F38" s="423"/>
      <c r="G38" s="424"/>
      <c r="I38" s="527" t="s">
        <v>793</v>
      </c>
      <c r="J38" s="520">
        <v>2022</v>
      </c>
      <c r="K38" s="520">
        <v>2021</v>
      </c>
      <c r="L38" s="520" t="s">
        <v>132</v>
      </c>
    </row>
    <row r="39" spans="1:13" ht="32" x14ac:dyDescent="0.2">
      <c r="A39" s="421"/>
      <c r="B39" s="394"/>
      <c r="C39" s="427"/>
      <c r="D39" s="427"/>
      <c r="E39" s="427"/>
      <c r="F39" s="423"/>
      <c r="G39" s="358"/>
      <c r="I39" s="528" t="s">
        <v>794</v>
      </c>
      <c r="J39" s="523">
        <v>600</v>
      </c>
      <c r="K39" s="523">
        <v>6295</v>
      </c>
      <c r="L39" s="529">
        <f t="shared" ref="L39:L47" si="2">+J39-K39</f>
        <v>-5695</v>
      </c>
    </row>
    <row r="40" spans="1:13" ht="32" x14ac:dyDescent="0.2">
      <c r="A40" s="421"/>
      <c r="B40" s="394"/>
      <c r="C40" s="427"/>
      <c r="D40" s="427"/>
      <c r="E40" s="427"/>
      <c r="F40" s="423"/>
      <c r="G40" s="424"/>
      <c r="I40" s="528" t="s">
        <v>795</v>
      </c>
      <c r="J40" s="523">
        <v>4384</v>
      </c>
      <c r="K40" s="523">
        <v>11426</v>
      </c>
      <c r="L40" s="529">
        <f t="shared" si="2"/>
        <v>-7042</v>
      </c>
    </row>
    <row r="41" spans="1:13" ht="32" x14ac:dyDescent="0.2">
      <c r="A41" s="421"/>
      <c r="B41" s="394"/>
      <c r="C41" s="427"/>
      <c r="D41" s="427"/>
      <c r="E41" s="427"/>
      <c r="F41" s="423"/>
      <c r="G41" s="424"/>
      <c r="I41" s="528" t="s">
        <v>796</v>
      </c>
      <c r="J41" s="523">
        <v>1</v>
      </c>
      <c r="K41" s="523">
        <v>4884</v>
      </c>
      <c r="L41" s="529">
        <f t="shared" si="2"/>
        <v>-4883</v>
      </c>
    </row>
    <row r="42" spans="1:13" ht="32" x14ac:dyDescent="0.2">
      <c r="A42" s="421"/>
      <c r="B42" s="394"/>
      <c r="C42" s="427"/>
      <c r="D42" s="427"/>
      <c r="E42" s="427"/>
      <c r="F42" s="423"/>
      <c r="G42" s="424"/>
      <c r="I42" s="528" t="s">
        <v>797</v>
      </c>
      <c r="J42" s="523">
        <v>0</v>
      </c>
      <c r="K42" s="523">
        <v>13979</v>
      </c>
      <c r="L42" s="529">
        <f t="shared" si="2"/>
        <v>-13979</v>
      </c>
    </row>
    <row r="43" spans="1:13" ht="32" x14ac:dyDescent="0.2">
      <c r="A43" s="428"/>
      <c r="B43" s="429"/>
      <c r="C43" s="430"/>
      <c r="D43" s="430"/>
      <c r="E43" s="430"/>
      <c r="F43" s="430"/>
      <c r="G43" s="358"/>
      <c r="I43" s="528" t="s">
        <v>798</v>
      </c>
      <c r="J43" s="523">
        <v>16035</v>
      </c>
      <c r="K43" s="523">
        <v>8646</v>
      </c>
      <c r="L43" s="529">
        <f t="shared" si="2"/>
        <v>7389</v>
      </c>
    </row>
    <row r="44" spans="1:13" ht="16" x14ac:dyDescent="0.2">
      <c r="I44" s="528" t="s">
        <v>799</v>
      </c>
      <c r="J44" s="523">
        <v>0</v>
      </c>
      <c r="K44" s="523">
        <v>1485</v>
      </c>
      <c r="L44" s="529">
        <f t="shared" si="2"/>
        <v>-1485</v>
      </c>
    </row>
    <row r="45" spans="1:13" ht="16" x14ac:dyDescent="0.2">
      <c r="I45" s="528" t="s">
        <v>800</v>
      </c>
      <c r="J45" s="523">
        <v>100559</v>
      </c>
      <c r="K45" s="523">
        <v>20000</v>
      </c>
      <c r="L45" s="529">
        <f t="shared" si="2"/>
        <v>80559</v>
      </c>
    </row>
    <row r="46" spans="1:13" ht="16" x14ac:dyDescent="0.2">
      <c r="I46" s="528" t="s">
        <v>650</v>
      </c>
      <c r="J46" s="523">
        <v>58994</v>
      </c>
      <c r="K46" s="523">
        <v>35191</v>
      </c>
      <c r="L46" s="529">
        <f t="shared" si="2"/>
        <v>23803</v>
      </c>
    </row>
    <row r="47" spans="1:13" ht="16" x14ac:dyDescent="0.2">
      <c r="F47" s="397"/>
      <c r="I47" s="528" t="s">
        <v>801</v>
      </c>
      <c r="J47" s="523">
        <v>5647</v>
      </c>
      <c r="K47" s="523">
        <v>12741</v>
      </c>
      <c r="L47" s="529">
        <f t="shared" si="2"/>
        <v>-7094</v>
      </c>
    </row>
    <row r="48" spans="1:13" ht="16" x14ac:dyDescent="0.2">
      <c r="A48" s="398"/>
      <c r="B48" s="398"/>
      <c r="C48" s="398"/>
      <c r="D48" s="398"/>
      <c r="E48" s="398"/>
      <c r="F48" s="398"/>
      <c r="I48" s="528" t="s">
        <v>802</v>
      </c>
      <c r="J48" s="523">
        <v>7853</v>
      </c>
      <c r="K48" s="523">
        <v>20450</v>
      </c>
      <c r="L48" s="529">
        <f>+J48-K48</f>
        <v>-12597</v>
      </c>
    </row>
    <row r="49" spans="1:12" ht="16" x14ac:dyDescent="0.2">
      <c r="A49" s="398"/>
      <c r="B49" s="398"/>
      <c r="C49" s="398"/>
      <c r="D49" s="398"/>
      <c r="E49" s="398"/>
      <c r="F49" s="398"/>
      <c r="I49" s="527" t="s">
        <v>29</v>
      </c>
      <c r="J49" s="524">
        <f>SUM(J39:J48)</f>
        <v>194073</v>
      </c>
      <c r="K49" s="524">
        <f>SUM(K39:K48)</f>
        <v>135097</v>
      </c>
      <c r="L49" s="530">
        <f>SUM(L39:L48)</f>
        <v>58976</v>
      </c>
    </row>
    <row r="50" spans="1:12" ht="15" customHeight="1" x14ac:dyDescent="0.2">
      <c r="F50" s="399"/>
    </row>
    <row r="56" spans="1:12" x14ac:dyDescent="0.2">
      <c r="F56" s="395"/>
    </row>
    <row r="57" spans="1:12" x14ac:dyDescent="0.2">
      <c r="F57" s="395"/>
    </row>
    <row r="58" spans="1:12" x14ac:dyDescent="0.2">
      <c r="F58" s="395"/>
    </row>
    <row r="59" spans="1:12" x14ac:dyDescent="0.2">
      <c r="F59" s="395"/>
    </row>
    <row r="60" spans="1:12" x14ac:dyDescent="0.2">
      <c r="F60" s="395"/>
    </row>
    <row r="65" spans="1:10" ht="176" x14ac:dyDescent="0.2">
      <c r="A65" s="543" t="s">
        <v>286</v>
      </c>
      <c r="B65" s="543" t="s">
        <v>287</v>
      </c>
      <c r="C65" s="543" t="s">
        <v>656</v>
      </c>
      <c r="D65" s="543" t="s">
        <v>289</v>
      </c>
      <c r="E65" s="543" t="s">
        <v>290</v>
      </c>
      <c r="F65" s="543" t="s">
        <v>304</v>
      </c>
      <c r="G65" s="544" t="s">
        <v>170</v>
      </c>
    </row>
    <row r="66" spans="1:10" x14ac:dyDescent="0.2">
      <c r="A66" s="539" t="s">
        <v>305</v>
      </c>
      <c r="B66" s="539"/>
      <c r="C66" s="545"/>
      <c r="D66" s="545"/>
      <c r="E66" s="545"/>
      <c r="F66" s="545"/>
      <c r="G66" s="539"/>
    </row>
    <row r="67" spans="1:10" x14ac:dyDescent="0.2">
      <c r="A67" s="546"/>
      <c r="B67" s="546"/>
      <c r="C67" s="547"/>
      <c r="D67" s="547"/>
      <c r="E67" s="547"/>
      <c r="F67" s="547"/>
      <c r="G67" s="548"/>
    </row>
    <row r="68" spans="1:10" x14ac:dyDescent="0.2">
      <c r="A68" s="549" t="s">
        <v>912</v>
      </c>
      <c r="B68" s="546">
        <v>2022</v>
      </c>
      <c r="C68" s="550">
        <v>16000</v>
      </c>
      <c r="D68" s="550">
        <v>0</v>
      </c>
      <c r="E68" s="550">
        <v>16000</v>
      </c>
      <c r="F68" s="550">
        <f>C68-D68-E68</f>
        <v>0</v>
      </c>
      <c r="G68" s="551"/>
    </row>
    <row r="69" spans="1:10" x14ac:dyDescent="0.2">
      <c r="A69" s="549" t="s">
        <v>911</v>
      </c>
      <c r="B69" s="546">
        <v>2022</v>
      </c>
      <c r="C69" s="550">
        <v>10000</v>
      </c>
      <c r="D69" s="550">
        <v>0</v>
      </c>
      <c r="E69" s="550">
        <v>10000</v>
      </c>
      <c r="F69" s="550">
        <f>C69-D69-E69</f>
        <v>0</v>
      </c>
      <c r="G69" s="551"/>
    </row>
    <row r="70" spans="1:10" ht="64" x14ac:dyDescent="0.2">
      <c r="A70" s="546" t="s">
        <v>612</v>
      </c>
      <c r="B70" s="546">
        <v>2020</v>
      </c>
      <c r="C70" s="550">
        <v>100351</v>
      </c>
      <c r="D70" s="550">
        <f>12589+9440</f>
        <v>22029</v>
      </c>
      <c r="E70" s="550">
        <v>78322</v>
      </c>
      <c r="F70" s="550">
        <v>0</v>
      </c>
      <c r="G70" s="552" t="s">
        <v>913</v>
      </c>
    </row>
    <row r="71" spans="1:10" x14ac:dyDescent="0.2">
      <c r="A71" s="549" t="s">
        <v>914</v>
      </c>
      <c r="B71" s="546">
        <v>2022</v>
      </c>
      <c r="C71" s="550">
        <v>50000</v>
      </c>
      <c r="D71" s="550">
        <v>0</v>
      </c>
      <c r="E71" s="550">
        <v>50000</v>
      </c>
      <c r="F71" s="550">
        <v>0</v>
      </c>
      <c r="G71" s="552"/>
    </row>
    <row r="72" spans="1:10" x14ac:dyDescent="0.2">
      <c r="A72" s="549" t="s">
        <v>915</v>
      </c>
      <c r="B72" s="546">
        <v>2022</v>
      </c>
      <c r="C72" s="550">
        <v>150000</v>
      </c>
      <c r="D72" s="550">
        <v>0</v>
      </c>
      <c r="E72" s="550">
        <v>150000</v>
      </c>
      <c r="F72" s="550">
        <v>0</v>
      </c>
      <c r="G72" s="552"/>
    </row>
    <row r="73" spans="1:10" x14ac:dyDescent="0.2">
      <c r="A73" s="553" t="s">
        <v>817</v>
      </c>
      <c r="B73" s="553"/>
      <c r="C73" s="554">
        <f>SUM(C67:C72)</f>
        <v>326351</v>
      </c>
      <c r="D73" s="554">
        <f>SUM(D67:D72)</f>
        <v>22029</v>
      </c>
      <c r="E73" s="554">
        <f>SUM(E67:E72)</f>
        <v>304322</v>
      </c>
      <c r="F73" s="554">
        <f>SUM(F67:F72)</f>
        <v>0</v>
      </c>
      <c r="G73" s="551"/>
      <c r="J73" s="395"/>
    </row>
    <row r="74" spans="1:10" x14ac:dyDescent="0.2">
      <c r="A74" s="539" t="s">
        <v>306</v>
      </c>
      <c r="B74" s="555"/>
      <c r="C74" s="556"/>
      <c r="D74" s="556"/>
      <c r="E74" s="556"/>
      <c r="F74" s="556"/>
      <c r="G74" s="555"/>
      <c r="J74" s="395"/>
    </row>
    <row r="75" spans="1:10" ht="112" x14ac:dyDescent="0.2">
      <c r="A75" s="546" t="s">
        <v>66</v>
      </c>
      <c r="B75" s="546">
        <v>2017</v>
      </c>
      <c r="C75" s="550">
        <v>234064</v>
      </c>
      <c r="D75" s="550">
        <v>158588</v>
      </c>
      <c r="E75" s="550">
        <v>75476</v>
      </c>
      <c r="F75" s="550">
        <f t="shared" ref="F75:F84" si="3">C75-D75-E75</f>
        <v>0</v>
      </c>
      <c r="G75" s="552" t="s">
        <v>916</v>
      </c>
      <c r="J75" s="360"/>
    </row>
    <row r="76" spans="1:10" ht="112" x14ac:dyDescent="0.2">
      <c r="A76" s="546" t="s">
        <v>41</v>
      </c>
      <c r="B76" s="546">
        <v>2018</v>
      </c>
      <c r="C76" s="550">
        <v>400356</v>
      </c>
      <c r="D76" s="550">
        <v>295655</v>
      </c>
      <c r="E76" s="550">
        <v>104701</v>
      </c>
      <c r="F76" s="550">
        <f t="shared" si="3"/>
        <v>0</v>
      </c>
      <c r="G76" s="552" t="s">
        <v>916</v>
      </c>
    </row>
    <row r="77" spans="1:10" ht="74.25" customHeight="1" x14ac:dyDescent="0.2">
      <c r="A77" s="546" t="s">
        <v>45</v>
      </c>
      <c r="B77" s="546">
        <v>2019</v>
      </c>
      <c r="C77" s="550">
        <v>243885</v>
      </c>
      <c r="D77" s="550">
        <v>84542</v>
      </c>
      <c r="E77" s="550">
        <v>159343</v>
      </c>
      <c r="F77" s="550">
        <f t="shared" si="3"/>
        <v>0</v>
      </c>
      <c r="G77" s="552" t="s">
        <v>916</v>
      </c>
    </row>
    <row r="78" spans="1:10" ht="128" x14ac:dyDescent="0.2">
      <c r="A78" s="546" t="s">
        <v>46</v>
      </c>
      <c r="B78" s="546">
        <v>2019</v>
      </c>
      <c r="C78" s="550">
        <v>174008</v>
      </c>
      <c r="D78" s="550">
        <v>69277</v>
      </c>
      <c r="E78" s="550">
        <v>53191</v>
      </c>
      <c r="F78" s="550">
        <f t="shared" si="3"/>
        <v>51540</v>
      </c>
      <c r="G78" s="552" t="s">
        <v>917</v>
      </c>
    </row>
    <row r="79" spans="1:10" ht="112" x14ac:dyDescent="0.2">
      <c r="A79" s="546" t="s">
        <v>122</v>
      </c>
      <c r="B79" s="546">
        <v>2020</v>
      </c>
      <c r="C79" s="550">
        <v>313701</v>
      </c>
      <c r="D79" s="550">
        <v>206014</v>
      </c>
      <c r="E79" s="550">
        <v>107687</v>
      </c>
      <c r="F79" s="550">
        <f t="shared" si="3"/>
        <v>0</v>
      </c>
      <c r="G79" s="552" t="s">
        <v>918</v>
      </c>
    </row>
    <row r="80" spans="1:10" ht="112" x14ac:dyDescent="0.2">
      <c r="A80" s="546" t="s">
        <v>47</v>
      </c>
      <c r="B80" s="546">
        <v>2019</v>
      </c>
      <c r="C80" s="550">
        <v>99210</v>
      </c>
      <c r="D80" s="550">
        <v>44780</v>
      </c>
      <c r="E80" s="550">
        <v>54430</v>
      </c>
      <c r="F80" s="550">
        <f t="shared" si="3"/>
        <v>0</v>
      </c>
      <c r="G80" s="552" t="s">
        <v>918</v>
      </c>
    </row>
    <row r="81" spans="1:7" ht="128" x14ac:dyDescent="0.2">
      <c r="A81" s="546" t="s">
        <v>611</v>
      </c>
      <c r="B81" s="546">
        <v>2021</v>
      </c>
      <c r="C81" s="550">
        <v>35112</v>
      </c>
      <c r="D81" s="550">
        <v>33516</v>
      </c>
      <c r="E81" s="550">
        <v>1596</v>
      </c>
      <c r="F81" s="550">
        <f>C81-D81-E81</f>
        <v>0</v>
      </c>
      <c r="G81" s="548" t="s">
        <v>816</v>
      </c>
    </row>
    <row r="82" spans="1:7" ht="80" x14ac:dyDescent="0.2">
      <c r="A82" s="546" t="s">
        <v>614</v>
      </c>
      <c r="B82" s="546">
        <v>2021</v>
      </c>
      <c r="C82" s="550">
        <v>30000</v>
      </c>
      <c r="D82" s="550">
        <v>2102</v>
      </c>
      <c r="E82" s="550">
        <v>27240</v>
      </c>
      <c r="F82" s="550">
        <f>C82-D82-E82</f>
        <v>658</v>
      </c>
      <c r="G82" s="552" t="s">
        <v>919</v>
      </c>
    </row>
    <row r="83" spans="1:7" ht="144" x14ac:dyDescent="0.2">
      <c r="A83" s="546" t="s">
        <v>755</v>
      </c>
      <c r="B83" s="546">
        <v>2021</v>
      </c>
      <c r="C83" s="550">
        <v>542500</v>
      </c>
      <c r="D83" s="550">
        <v>661</v>
      </c>
      <c r="E83" s="550">
        <v>10313</v>
      </c>
      <c r="F83" s="550">
        <f t="shared" si="3"/>
        <v>531526</v>
      </c>
      <c r="G83" s="552" t="s">
        <v>920</v>
      </c>
    </row>
    <row r="84" spans="1:7" ht="144" x14ac:dyDescent="0.2">
      <c r="A84" s="549" t="s">
        <v>921</v>
      </c>
      <c r="B84" s="546">
        <v>2022</v>
      </c>
      <c r="C84" s="550">
        <v>60000</v>
      </c>
      <c r="D84" s="550">
        <v>0</v>
      </c>
      <c r="E84" s="550">
        <v>11494</v>
      </c>
      <c r="F84" s="550">
        <f t="shared" si="3"/>
        <v>48506</v>
      </c>
      <c r="G84" s="552" t="s">
        <v>920</v>
      </c>
    </row>
    <row r="85" spans="1:7" x14ac:dyDescent="0.2">
      <c r="A85" s="539" t="s">
        <v>818</v>
      </c>
      <c r="B85" s="555"/>
      <c r="C85" s="557">
        <f>SUM(C75:C84)</f>
        <v>2132836</v>
      </c>
      <c r="D85" s="557">
        <f>SUM(D75:D84)</f>
        <v>895135</v>
      </c>
      <c r="E85" s="558">
        <f>SUM(E75:E84)</f>
        <v>605471</v>
      </c>
      <c r="F85" s="558">
        <f>SUM(F75:F84)</f>
        <v>632230</v>
      </c>
      <c r="G85" s="555"/>
    </row>
    <row r="86" spans="1:7" x14ac:dyDescent="0.2">
      <c r="C86" s="398"/>
      <c r="D86" s="398"/>
      <c r="E86" s="398"/>
      <c r="F86" s="398"/>
    </row>
    <row r="87" spans="1:7" x14ac:dyDescent="0.2">
      <c r="C87" s="398"/>
      <c r="D87" s="398"/>
      <c r="E87" s="398"/>
      <c r="F87" s="398"/>
    </row>
    <row r="88" spans="1:7" x14ac:dyDescent="0.2">
      <c r="C88" s="398"/>
      <c r="D88" s="398"/>
      <c r="E88" s="398"/>
      <c r="F88" s="398"/>
    </row>
    <row r="89" spans="1:7" x14ac:dyDescent="0.2">
      <c r="C89" s="398"/>
      <c r="D89" s="398"/>
      <c r="E89" s="398"/>
      <c r="F89" s="398"/>
    </row>
    <row r="91" spans="1:7" x14ac:dyDescent="0.2">
      <c r="A91" s="539" t="s">
        <v>308</v>
      </c>
      <c r="B91" s="615">
        <v>44926</v>
      </c>
      <c r="C91" s="615">
        <v>44561</v>
      </c>
      <c r="D91" s="616" t="s">
        <v>142</v>
      </c>
    </row>
    <row r="92" spans="1:7" ht="16" x14ac:dyDescent="0.2">
      <c r="A92" s="617" t="s">
        <v>309</v>
      </c>
      <c r="B92" s="540">
        <v>2000000</v>
      </c>
      <c r="C92" s="540">
        <v>2000000</v>
      </c>
      <c r="D92" s="540">
        <f>B92-C92</f>
        <v>0</v>
      </c>
    </row>
    <row r="93" spans="1:7" ht="16" x14ac:dyDescent="0.2">
      <c r="A93" s="617" t="s">
        <v>310</v>
      </c>
      <c r="B93" s="540">
        <f>+'RICLASSIFIC. CIVILIST.'!H5</f>
        <v>54989</v>
      </c>
      <c r="C93" s="540">
        <f>+'RICLASSIFIC. CIVILIST.'!I5</f>
        <v>304322</v>
      </c>
      <c r="D93" s="540">
        <f>B93-C93</f>
        <v>-249333</v>
      </c>
    </row>
    <row r="94" spans="1:7" ht="16" x14ac:dyDescent="0.2">
      <c r="A94" s="617" t="s">
        <v>311</v>
      </c>
      <c r="B94" s="540">
        <v>0</v>
      </c>
      <c r="C94" s="540">
        <v>0</v>
      </c>
      <c r="D94" s="540">
        <f>B94-C94</f>
        <v>0</v>
      </c>
    </row>
    <row r="95" spans="1:7" ht="16" x14ac:dyDescent="0.2">
      <c r="A95" s="617" t="s">
        <v>312</v>
      </c>
      <c r="B95" s="540">
        <v>0</v>
      </c>
      <c r="C95" s="540">
        <v>0</v>
      </c>
      <c r="D95" s="540">
        <f>B95-C95</f>
        <v>0</v>
      </c>
    </row>
    <row r="96" spans="1:7" ht="16" x14ac:dyDescent="0.2">
      <c r="A96" s="617" t="s">
        <v>313</v>
      </c>
      <c r="B96" s="540">
        <f>+'RICLASSIFIC. CIVILIST.'!H7</f>
        <v>1175168</v>
      </c>
      <c r="C96" s="540">
        <f>+'RICLASSIFIC. CIVILIST.'!I7</f>
        <v>1605471</v>
      </c>
      <c r="D96" s="618">
        <f>B96-C96</f>
        <v>-430303</v>
      </c>
    </row>
    <row r="97" spans="1:4" ht="16" x14ac:dyDescent="0.2">
      <c r="A97" s="619" t="s">
        <v>29</v>
      </c>
      <c r="B97" s="620">
        <f>SUM(B92:B96)</f>
        <v>3230157</v>
      </c>
      <c r="C97" s="620">
        <f>SUM(C92:C96)</f>
        <v>3909793</v>
      </c>
      <c r="D97" s="621">
        <f>SUM(D92:D96)</f>
        <v>-679636</v>
      </c>
    </row>
    <row r="101" spans="1:4" x14ac:dyDescent="0.2">
      <c r="A101" s="579" t="s">
        <v>314</v>
      </c>
      <c r="B101" s="580">
        <v>44926</v>
      </c>
      <c r="C101" s="580">
        <v>44561</v>
      </c>
      <c r="D101" s="581" t="s">
        <v>142</v>
      </c>
    </row>
    <row r="102" spans="1:4" ht="16" x14ac:dyDescent="0.2">
      <c r="A102" s="582" t="s">
        <v>315</v>
      </c>
      <c r="B102" s="583">
        <v>102143</v>
      </c>
      <c r="C102" s="583">
        <v>106830</v>
      </c>
      <c r="D102" s="584">
        <f t="shared" ref="D102:D109" si="4">B102-C102</f>
        <v>-4687</v>
      </c>
    </row>
    <row r="103" spans="1:4" ht="16" x14ac:dyDescent="0.2">
      <c r="A103" s="582" t="s">
        <v>316</v>
      </c>
      <c r="B103" s="583">
        <v>10200</v>
      </c>
      <c r="C103" s="583">
        <v>8429</v>
      </c>
      <c r="D103" s="584">
        <f t="shared" si="4"/>
        <v>1771</v>
      </c>
    </row>
    <row r="104" spans="1:4" ht="16" x14ac:dyDescent="0.2">
      <c r="A104" s="582" t="s">
        <v>826</v>
      </c>
      <c r="B104" s="583">
        <v>0</v>
      </c>
      <c r="C104" s="583">
        <v>0</v>
      </c>
      <c r="D104" s="584">
        <f t="shared" si="4"/>
        <v>0</v>
      </c>
    </row>
    <row r="105" spans="1:4" ht="16" x14ac:dyDescent="0.2">
      <c r="A105" s="585" t="s">
        <v>925</v>
      </c>
      <c r="B105" s="559">
        <f>SUM(B102:B104)</f>
        <v>112343</v>
      </c>
      <c r="C105" s="559">
        <f>SUM(C102:C104)</f>
        <v>115259</v>
      </c>
      <c r="D105" s="559">
        <f>SUM(D102:D104)</f>
        <v>-2916</v>
      </c>
    </row>
    <row r="106" spans="1:4" ht="16" x14ac:dyDescent="0.2">
      <c r="A106" s="582" t="s">
        <v>827</v>
      </c>
      <c r="B106" s="583">
        <f>+'Attività c-terzi'!G62</f>
        <v>6214</v>
      </c>
      <c r="C106" s="583">
        <v>3975</v>
      </c>
      <c r="D106" s="584">
        <f t="shared" si="4"/>
        <v>2239</v>
      </c>
    </row>
    <row r="107" spans="1:4" ht="16" x14ac:dyDescent="0.2">
      <c r="A107" s="585" t="s">
        <v>317</v>
      </c>
      <c r="B107" s="586">
        <f>B106</f>
        <v>6214</v>
      </c>
      <c r="C107" s="586">
        <f>C106</f>
        <v>3975</v>
      </c>
      <c r="D107" s="587">
        <f t="shared" si="4"/>
        <v>2239</v>
      </c>
    </row>
    <row r="108" spans="1:4" ht="16" x14ac:dyDescent="0.2">
      <c r="A108" s="582" t="s">
        <v>828</v>
      </c>
      <c r="B108" s="583">
        <f>+'Attività c-terzi'!G61</f>
        <v>2274</v>
      </c>
      <c r="C108" s="583">
        <v>8796</v>
      </c>
      <c r="D108" s="584">
        <f t="shared" si="4"/>
        <v>-6522</v>
      </c>
    </row>
    <row r="109" spans="1:4" ht="16" x14ac:dyDescent="0.2">
      <c r="A109" s="585" t="s">
        <v>318</v>
      </c>
      <c r="B109" s="586">
        <f>B108</f>
        <v>2274</v>
      </c>
      <c r="C109" s="586">
        <f>C108</f>
        <v>8796</v>
      </c>
      <c r="D109" s="587">
        <f t="shared" si="4"/>
        <v>-6522</v>
      </c>
    </row>
    <row r="110" spans="1:4" ht="16" x14ac:dyDescent="0.2">
      <c r="A110" s="585" t="s">
        <v>926</v>
      </c>
      <c r="B110" s="586">
        <f>+B107+B109</f>
        <v>8488</v>
      </c>
      <c r="C110" s="586">
        <f>+C107+C109</f>
        <v>12771</v>
      </c>
      <c r="D110" s="586">
        <f>+D107+D109</f>
        <v>-4283</v>
      </c>
    </row>
    <row r="114" spans="1:5" ht="16" x14ac:dyDescent="0.2">
      <c r="A114" s="572" t="s">
        <v>167</v>
      </c>
      <c r="B114" s="572" t="s">
        <v>922</v>
      </c>
      <c r="C114" s="572" t="s">
        <v>819</v>
      </c>
      <c r="D114" s="572" t="s">
        <v>1</v>
      </c>
    </row>
    <row r="115" spans="1:5" ht="16" x14ac:dyDescent="0.2">
      <c r="A115" s="536" t="s">
        <v>19</v>
      </c>
      <c r="B115" s="541">
        <f>+'RICLASSIFIC. CIVILIST.'!H44</f>
        <v>28967</v>
      </c>
      <c r="C115" s="541">
        <v>17</v>
      </c>
      <c r="D115" s="576">
        <f>B115-C115</f>
        <v>28950</v>
      </c>
    </row>
    <row r="116" spans="1:5" ht="16" x14ac:dyDescent="0.2">
      <c r="A116" s="536" t="s">
        <v>25</v>
      </c>
      <c r="B116" s="541">
        <f>+'RICLASSIFIC. CIVILIST.'!H45</f>
        <v>209</v>
      </c>
      <c r="C116" s="541">
        <v>146</v>
      </c>
      <c r="D116" s="542">
        <f>B116-C116</f>
        <v>63</v>
      </c>
    </row>
    <row r="117" spans="1:5" ht="16" x14ac:dyDescent="0.2">
      <c r="A117" s="577" t="s">
        <v>29</v>
      </c>
      <c r="B117" s="578">
        <f>B115-B116</f>
        <v>28758</v>
      </c>
      <c r="C117" s="578">
        <f>C115-C116</f>
        <v>-129</v>
      </c>
      <c r="D117" s="578">
        <f>D115+D116</f>
        <v>29013</v>
      </c>
    </row>
    <row r="120" spans="1:5" x14ac:dyDescent="0.2">
      <c r="A120" s="362" t="s">
        <v>99</v>
      </c>
    </row>
    <row r="121" spans="1:5" x14ac:dyDescent="0.2">
      <c r="A121" s="362"/>
    </row>
    <row r="122" spans="1:5" ht="16" x14ac:dyDescent="0.2">
      <c r="A122" s="572" t="s">
        <v>167</v>
      </c>
      <c r="B122" s="573">
        <v>44926</v>
      </c>
      <c r="C122" s="573">
        <v>44561</v>
      </c>
      <c r="D122" s="572" t="s">
        <v>1</v>
      </c>
    </row>
    <row r="123" spans="1:5" ht="16" x14ac:dyDescent="0.2">
      <c r="A123" s="536" t="s">
        <v>319</v>
      </c>
      <c r="B123" s="540">
        <f>+'RICLASSIFIC. CIVILIST.'!H30</f>
        <v>45106</v>
      </c>
      <c r="C123" s="540">
        <f>+'RICLASSIFIC. CIVILIST.'!I30</f>
        <v>65841</v>
      </c>
      <c r="D123" s="540">
        <f>B123-C123</f>
        <v>-20735</v>
      </c>
    </row>
    <row r="124" spans="1:5" ht="16" x14ac:dyDescent="0.2">
      <c r="A124" s="536" t="s">
        <v>320</v>
      </c>
      <c r="B124" s="540">
        <f>+'RICLASSIFIC. CIVILIST.'!H31</f>
        <v>489790</v>
      </c>
      <c r="C124" s="540">
        <f>+'RICLASSIFIC. CIVILIST.'!I31</f>
        <v>530798</v>
      </c>
      <c r="D124" s="540">
        <f>B124-C124</f>
        <v>-41008</v>
      </c>
    </row>
    <row r="125" spans="1:5" ht="16" x14ac:dyDescent="0.2">
      <c r="A125" s="574" t="s">
        <v>29</v>
      </c>
      <c r="B125" s="575">
        <f>B123+B124</f>
        <v>534896</v>
      </c>
      <c r="C125" s="575">
        <f>C123+C124</f>
        <v>596639</v>
      </c>
      <c r="D125" s="575">
        <f>D123+D124</f>
        <v>-61743</v>
      </c>
      <c r="E125" s="400">
        <f>B125-C125</f>
        <v>-61743</v>
      </c>
    </row>
    <row r="128" spans="1:5" x14ac:dyDescent="0.2">
      <c r="A128" s="362" t="s">
        <v>173</v>
      </c>
    </row>
    <row r="129" spans="1:7" x14ac:dyDescent="0.2">
      <c r="A129" s="362"/>
    </row>
    <row r="130" spans="1:7" ht="16" x14ac:dyDescent="0.2">
      <c r="A130" s="568" t="s">
        <v>167</v>
      </c>
      <c r="B130" s="569">
        <v>44926</v>
      </c>
      <c r="C130" s="569">
        <v>44561</v>
      </c>
      <c r="D130" s="570" t="s">
        <v>1</v>
      </c>
    </row>
    <row r="131" spans="1:7" ht="32" x14ac:dyDescent="0.2">
      <c r="A131" s="536" t="s">
        <v>168</v>
      </c>
      <c r="B131" s="541">
        <v>1171</v>
      </c>
      <c r="C131" s="541">
        <v>1260</v>
      </c>
      <c r="D131" s="541">
        <f>B131-C131</f>
        <v>-89</v>
      </c>
    </row>
    <row r="132" spans="1:7" ht="16" x14ac:dyDescent="0.2">
      <c r="A132" s="536" t="s">
        <v>169</v>
      </c>
      <c r="B132" s="541">
        <v>0</v>
      </c>
      <c r="C132" s="541">
        <v>629</v>
      </c>
      <c r="D132" s="541">
        <f>B132-C132</f>
        <v>-629</v>
      </c>
    </row>
    <row r="133" spans="1:7" ht="16" x14ac:dyDescent="0.2">
      <c r="A133" s="536" t="s">
        <v>846</v>
      </c>
      <c r="B133" s="541">
        <v>984</v>
      </c>
      <c r="C133" s="541">
        <v>16000</v>
      </c>
      <c r="D133" s="541">
        <f>B133-C133</f>
        <v>-15016</v>
      </c>
    </row>
    <row r="134" spans="1:7" ht="16" x14ac:dyDescent="0.2">
      <c r="A134" s="535" t="s">
        <v>29</v>
      </c>
      <c r="B134" s="571">
        <f>+B131+B132+B133</f>
        <v>2155</v>
      </c>
      <c r="C134" s="571">
        <f>+C131+C132+C133</f>
        <v>17889</v>
      </c>
      <c r="D134" s="571">
        <f>+D131+D132+D133</f>
        <v>-15734</v>
      </c>
    </row>
    <row r="139" spans="1:7" x14ac:dyDescent="0.2">
      <c r="A139" s="431"/>
      <c r="B139" s="431"/>
      <c r="C139" s="436"/>
      <c r="D139" s="431"/>
      <c r="E139" s="436"/>
      <c r="F139" s="431"/>
      <c r="G139" s="432"/>
    </row>
    <row r="140" spans="1:7" x14ac:dyDescent="0.2">
      <c r="A140" s="436"/>
      <c r="B140" s="431"/>
      <c r="C140" s="431"/>
      <c r="D140" s="431"/>
      <c r="E140" s="431"/>
      <c r="F140" s="431"/>
      <c r="G140" s="431"/>
    </row>
    <row r="141" spans="1:7" x14ac:dyDescent="0.2">
      <c r="A141" s="431"/>
      <c r="B141" s="433"/>
      <c r="C141" s="434"/>
      <c r="D141" s="433"/>
      <c r="E141" s="434"/>
      <c r="F141" s="433"/>
      <c r="G141" s="435"/>
    </row>
    <row r="142" spans="1:7" x14ac:dyDescent="0.2">
      <c r="A142" s="431"/>
      <c r="B142" s="433"/>
      <c r="C142" s="434"/>
      <c r="D142" s="433"/>
      <c r="E142" s="434"/>
      <c r="F142" s="433"/>
      <c r="G142" s="435"/>
    </row>
    <row r="143" spans="1:7" x14ac:dyDescent="0.2">
      <c r="A143" s="431"/>
      <c r="B143" s="434"/>
      <c r="C143" s="434"/>
      <c r="D143" s="434"/>
      <c r="E143" s="434"/>
      <c r="F143" s="433"/>
      <c r="G143" s="435"/>
    </row>
    <row r="144" spans="1:7" x14ac:dyDescent="0.2">
      <c r="A144" s="363"/>
      <c r="B144" s="364"/>
      <c r="C144" s="364"/>
      <c r="D144" s="364"/>
      <c r="E144" s="364"/>
      <c r="F144" s="365"/>
      <c r="G144" s="366"/>
    </row>
    <row r="145" spans="1:10" x14ac:dyDescent="0.2">
      <c r="A145" s="367" t="s">
        <v>321</v>
      </c>
    </row>
    <row r="147" spans="1:10" ht="16" x14ac:dyDescent="0.2">
      <c r="A147" s="572" t="s">
        <v>167</v>
      </c>
      <c r="B147" s="572" t="s">
        <v>922</v>
      </c>
      <c r="C147" s="572" t="s">
        <v>819</v>
      </c>
      <c r="D147" s="572" t="s">
        <v>1</v>
      </c>
      <c r="G147" s="560" t="s">
        <v>659</v>
      </c>
      <c r="H147" s="560" t="s">
        <v>115</v>
      </c>
      <c r="I147" s="560" t="s">
        <v>660</v>
      </c>
    </row>
    <row r="148" spans="1:10" ht="16" x14ac:dyDescent="0.2">
      <c r="A148" s="536" t="s">
        <v>322</v>
      </c>
      <c r="B148" s="540">
        <v>0</v>
      </c>
      <c r="C148" s="540">
        <v>0</v>
      </c>
      <c r="D148" s="540">
        <f>B148-C148</f>
        <v>0</v>
      </c>
      <c r="G148" s="561" t="s">
        <v>661</v>
      </c>
      <c r="H148" s="562">
        <v>7198</v>
      </c>
      <c r="I148" s="563" t="s">
        <v>665</v>
      </c>
    </row>
    <row r="149" spans="1:10" ht="16" x14ac:dyDescent="0.2">
      <c r="A149" s="536" t="s">
        <v>845</v>
      </c>
      <c r="B149" s="540">
        <v>5133</v>
      </c>
      <c r="C149" s="540">
        <v>0</v>
      </c>
      <c r="D149" s="603">
        <f>B149-C149</f>
        <v>5133</v>
      </c>
      <c r="G149" s="1030" t="s">
        <v>662</v>
      </c>
      <c r="H149" s="1031">
        <v>16000</v>
      </c>
      <c r="I149" s="564" t="s">
        <v>824</v>
      </c>
    </row>
    <row r="150" spans="1:10" x14ac:dyDescent="0.2">
      <c r="A150" s="604" t="s">
        <v>323</v>
      </c>
      <c r="B150" s="540">
        <v>236</v>
      </c>
      <c r="C150" s="540">
        <v>714</v>
      </c>
      <c r="D150" s="603">
        <f>B150-C150</f>
        <v>-478</v>
      </c>
      <c r="G150" s="1030"/>
      <c r="H150" s="1031"/>
      <c r="I150" s="564" t="s">
        <v>825</v>
      </c>
    </row>
    <row r="151" spans="1:10" ht="16" x14ac:dyDescent="0.2">
      <c r="A151" s="577" t="s">
        <v>29</v>
      </c>
      <c r="B151" s="575">
        <f>SUM(B148:B150)</f>
        <v>5369</v>
      </c>
      <c r="C151" s="575">
        <f>SUM(C148:C150)</f>
        <v>714</v>
      </c>
      <c r="D151" s="605">
        <f>B151-C151</f>
        <v>4655</v>
      </c>
      <c r="G151" s="565" t="s">
        <v>663</v>
      </c>
      <c r="H151" s="566">
        <v>76000</v>
      </c>
      <c r="I151" s="563" t="s">
        <v>666</v>
      </c>
    </row>
    <row r="152" spans="1:10" ht="15" customHeight="1" x14ac:dyDescent="0.2">
      <c r="G152" s="565" t="s">
        <v>924</v>
      </c>
      <c r="H152" s="566">
        <f>77960+1627</f>
        <v>79587</v>
      </c>
      <c r="I152" s="563" t="s">
        <v>664</v>
      </c>
    </row>
    <row r="153" spans="1:10" ht="15" customHeight="1" x14ac:dyDescent="0.2">
      <c r="G153" s="560" t="s">
        <v>155</v>
      </c>
      <c r="H153" s="567">
        <f>SUM(H148:H152)</f>
        <v>178785</v>
      </c>
      <c r="I153" s="565"/>
    </row>
    <row r="156" spans="1:10" ht="16" x14ac:dyDescent="0.2">
      <c r="G156" s="527" t="s">
        <v>324</v>
      </c>
      <c r="H156" s="521">
        <v>44926</v>
      </c>
      <c r="I156" s="521">
        <v>44561</v>
      </c>
      <c r="J156" s="520" t="s">
        <v>1</v>
      </c>
    </row>
    <row r="157" spans="1:10" ht="16" x14ac:dyDescent="0.2">
      <c r="G157" s="528" t="s">
        <v>822</v>
      </c>
      <c r="H157" s="597">
        <f>1042015+10191+33050</f>
        <v>1085256</v>
      </c>
      <c r="I157" s="597">
        <v>1125950</v>
      </c>
      <c r="J157" s="598">
        <f>+H157-I157</f>
        <v>-40694</v>
      </c>
    </row>
    <row r="158" spans="1:10" ht="16" x14ac:dyDescent="0.2">
      <c r="G158" s="599" t="s">
        <v>823</v>
      </c>
      <c r="H158" s="600">
        <f>133767+33050</f>
        <v>166817</v>
      </c>
      <c r="I158" s="600">
        <v>167208</v>
      </c>
      <c r="J158" s="598">
        <f t="shared" ref="J158:J163" si="5">+H158-I158</f>
        <v>-391</v>
      </c>
    </row>
    <row r="159" spans="1:10" ht="16" x14ac:dyDescent="0.2">
      <c r="G159" s="528" t="s">
        <v>820</v>
      </c>
      <c r="H159" s="597">
        <v>308422</v>
      </c>
      <c r="I159" s="597">
        <v>336634</v>
      </c>
      <c r="J159" s="598">
        <f t="shared" si="5"/>
        <v>-28212</v>
      </c>
    </row>
    <row r="160" spans="1:10" ht="16" x14ac:dyDescent="0.2">
      <c r="G160" s="599" t="s">
        <v>821</v>
      </c>
      <c r="H160" s="600">
        <v>59574</v>
      </c>
      <c r="I160" s="600">
        <v>79431</v>
      </c>
      <c r="J160" s="598">
        <f t="shared" si="5"/>
        <v>-19857</v>
      </c>
    </row>
    <row r="161" spans="1:15" ht="16" x14ac:dyDescent="0.2">
      <c r="G161" s="528" t="s">
        <v>325</v>
      </c>
      <c r="H161" s="597">
        <v>178785</v>
      </c>
      <c r="I161" s="597">
        <v>133191</v>
      </c>
      <c r="J161" s="601">
        <f t="shared" si="5"/>
        <v>45594</v>
      </c>
    </row>
    <row r="162" spans="1:15" ht="16" x14ac:dyDescent="0.2">
      <c r="G162" s="528" t="s">
        <v>326</v>
      </c>
      <c r="H162" s="597">
        <v>33050</v>
      </c>
      <c r="I162" s="597">
        <v>58400</v>
      </c>
      <c r="J162" s="598">
        <f t="shared" si="5"/>
        <v>-25350</v>
      </c>
    </row>
    <row r="163" spans="1:15" ht="13.5" customHeight="1" x14ac:dyDescent="0.2">
      <c r="A163" s="401"/>
      <c r="B163" s="402"/>
      <c r="C163" s="402"/>
      <c r="D163" s="402"/>
      <c r="G163" s="528" t="s">
        <v>327</v>
      </c>
      <c r="H163" s="597">
        <v>0</v>
      </c>
      <c r="I163" s="597">
        <v>0</v>
      </c>
      <c r="J163" s="598">
        <f t="shared" si="5"/>
        <v>0</v>
      </c>
    </row>
    <row r="164" spans="1:15" ht="16" x14ac:dyDescent="0.2">
      <c r="G164" s="520" t="s">
        <v>328</v>
      </c>
      <c r="H164" s="559">
        <f>+H157+H159+H161+H162+H163</f>
        <v>1605513</v>
      </c>
      <c r="I164" s="559">
        <f>+I157+I159+I161+I162+I163</f>
        <v>1654175</v>
      </c>
      <c r="J164" s="602">
        <f>+H164-I164</f>
        <v>-48662</v>
      </c>
    </row>
    <row r="165" spans="1:15" ht="15" customHeight="1" x14ac:dyDescent="0.2">
      <c r="H165" s="403">
        <f>1572463+33050</f>
        <v>1605513</v>
      </c>
      <c r="I165" s="403"/>
    </row>
    <row r="166" spans="1:15" ht="15" customHeight="1" x14ac:dyDescent="0.2">
      <c r="A166" s="622" t="s">
        <v>141</v>
      </c>
      <c r="B166" s="623">
        <v>44926</v>
      </c>
      <c r="C166" s="623">
        <v>44561</v>
      </c>
      <c r="H166" s="403">
        <f>+H165-H164</f>
        <v>0</v>
      </c>
      <c r="I166" s="403"/>
    </row>
    <row r="167" spans="1:15" ht="36.75" customHeight="1" x14ac:dyDescent="0.2">
      <c r="A167" s="624" t="s">
        <v>144</v>
      </c>
      <c r="B167" s="625">
        <v>19839</v>
      </c>
      <c r="C167" s="625">
        <v>2092</v>
      </c>
      <c r="G167" s="404"/>
      <c r="H167" s="355"/>
      <c r="I167" s="354"/>
      <c r="J167" s="354"/>
      <c r="K167" s="404"/>
      <c r="L167" s="404"/>
      <c r="M167" s="405"/>
      <c r="N167" s="360"/>
    </row>
    <row r="168" spans="1:15" ht="32" x14ac:dyDescent="0.2">
      <c r="A168" s="624" t="s">
        <v>145</v>
      </c>
      <c r="B168" s="625">
        <f>81905-366</f>
        <v>81539</v>
      </c>
      <c r="C168" s="625">
        <v>47731</v>
      </c>
      <c r="G168" s="358"/>
      <c r="H168" s="407"/>
      <c r="I168" s="407"/>
      <c r="J168" s="407"/>
      <c r="K168" s="408"/>
      <c r="L168" s="408"/>
      <c r="M168" s="409"/>
      <c r="N168" s="410"/>
      <c r="O168" s="411"/>
    </row>
    <row r="169" spans="1:15" ht="15" customHeight="1" x14ac:dyDescent="0.2">
      <c r="A169" s="626" t="s">
        <v>146</v>
      </c>
      <c r="B169" s="627">
        <f>SUM(B167:B168)</f>
        <v>101378</v>
      </c>
      <c r="C169" s="627">
        <f>SUM(C167:C168)</f>
        <v>49823</v>
      </c>
      <c r="G169" s="358"/>
      <c r="H169" s="407"/>
      <c r="I169" s="407"/>
      <c r="J169" s="407"/>
      <c r="K169" s="412"/>
      <c r="L169" s="408"/>
      <c r="M169" s="409"/>
      <c r="N169" s="410"/>
      <c r="O169" s="411"/>
    </row>
    <row r="170" spans="1:15" ht="15" customHeight="1" x14ac:dyDescent="0.2">
      <c r="A170" s="622" t="s">
        <v>147</v>
      </c>
      <c r="B170" s="628"/>
      <c r="C170" s="628"/>
      <c r="G170" s="358"/>
      <c r="H170" s="407"/>
      <c r="I170" s="407"/>
      <c r="J170" s="407"/>
      <c r="K170" s="408"/>
      <c r="L170" s="408"/>
      <c r="M170" s="409"/>
      <c r="N170" s="410"/>
      <c r="O170" s="411"/>
    </row>
    <row r="171" spans="1:15" ht="15" customHeight="1" x14ac:dyDescent="0.2">
      <c r="A171" s="624" t="s">
        <v>148</v>
      </c>
      <c r="B171" s="625">
        <v>154526</v>
      </c>
      <c r="C171" s="625">
        <v>131687</v>
      </c>
      <c r="H171" s="407"/>
      <c r="I171" s="407"/>
      <c r="J171" s="407"/>
      <c r="K171" s="408"/>
      <c r="L171" s="408"/>
      <c r="M171" s="409"/>
      <c r="N171" s="410"/>
      <c r="O171" s="411"/>
    </row>
    <row r="172" spans="1:15" ht="15" customHeight="1" x14ac:dyDescent="0.2">
      <c r="A172" s="624" t="s">
        <v>79</v>
      </c>
      <c r="B172" s="625">
        <v>11283</v>
      </c>
      <c r="C172" s="625">
        <v>11309</v>
      </c>
      <c r="H172" s="411"/>
      <c r="I172" s="407"/>
      <c r="J172" s="407"/>
      <c r="K172" s="455"/>
      <c r="L172" s="408"/>
      <c r="M172" s="409"/>
      <c r="N172" s="410"/>
      <c r="O172" s="411"/>
    </row>
    <row r="173" spans="1:15" ht="15" customHeight="1" x14ac:dyDescent="0.2">
      <c r="A173" s="624" t="s">
        <v>150</v>
      </c>
      <c r="B173" s="625">
        <v>41379</v>
      </c>
      <c r="C173" s="625">
        <v>10897</v>
      </c>
      <c r="H173" s="417"/>
      <c r="I173" s="407"/>
      <c r="J173" s="407"/>
      <c r="K173" s="408"/>
      <c r="L173" s="408"/>
      <c r="M173" s="409"/>
      <c r="N173" s="410"/>
      <c r="O173" s="411"/>
    </row>
    <row r="174" spans="1:15" ht="15" customHeight="1" x14ac:dyDescent="0.2">
      <c r="A174" s="629" t="s">
        <v>151</v>
      </c>
      <c r="B174" s="625">
        <v>25412</v>
      </c>
      <c r="C174" s="625">
        <f>27473+35</f>
        <v>27508</v>
      </c>
      <c r="G174" s="359"/>
      <c r="H174" s="407"/>
      <c r="I174" s="407"/>
      <c r="J174" s="407"/>
      <c r="K174" s="408"/>
      <c r="L174" s="408"/>
      <c r="M174" s="409"/>
      <c r="N174" s="410"/>
      <c r="O174" s="411"/>
    </row>
    <row r="175" spans="1:15" ht="15" customHeight="1" x14ac:dyDescent="0.2">
      <c r="A175" s="624" t="s">
        <v>171</v>
      </c>
      <c r="B175" s="625">
        <v>22422</v>
      </c>
      <c r="C175" s="625">
        <v>35265</v>
      </c>
      <c r="G175" s="358"/>
      <c r="H175" s="407"/>
      <c r="I175" s="408"/>
      <c r="J175" s="408"/>
      <c r="K175" s="408"/>
      <c r="L175" s="408"/>
      <c r="M175" s="409"/>
      <c r="N175" s="410"/>
      <c r="O175" s="411"/>
    </row>
    <row r="176" spans="1:15" ht="15" customHeight="1" x14ac:dyDescent="0.2">
      <c r="A176" s="624" t="s">
        <v>651</v>
      </c>
      <c r="B176" s="625">
        <f>594683+366+5978</f>
        <v>601027</v>
      </c>
      <c r="C176" s="625">
        <f>420661-3735</f>
        <v>416926</v>
      </c>
      <c r="G176" s="358"/>
      <c r="H176" s="407"/>
      <c r="I176" s="408"/>
      <c r="J176" s="408"/>
      <c r="K176" s="412"/>
      <c r="L176" s="414"/>
      <c r="M176" s="409"/>
      <c r="N176" s="410"/>
      <c r="O176" s="411"/>
    </row>
    <row r="177" spans="1:15" ht="15" customHeight="1" x14ac:dyDescent="0.2">
      <c r="A177" s="624" t="s">
        <v>80</v>
      </c>
      <c r="B177" s="625">
        <v>2369</v>
      </c>
      <c r="C177" s="625">
        <v>1976</v>
      </c>
      <c r="H177" s="407"/>
      <c r="I177" s="408"/>
      <c r="J177" s="408"/>
      <c r="K177" s="412"/>
      <c r="L177" s="408"/>
      <c r="M177" s="409"/>
      <c r="N177" s="410"/>
      <c r="O177" s="411"/>
    </row>
    <row r="178" spans="1:15" ht="41.25" customHeight="1" x14ac:dyDescent="0.2">
      <c r="A178" s="624" t="s">
        <v>652</v>
      </c>
      <c r="B178" s="625">
        <v>157000</v>
      </c>
      <c r="C178" s="625">
        <v>375651</v>
      </c>
      <c r="G178" s="358"/>
      <c r="H178" s="412"/>
      <c r="I178" s="408"/>
      <c r="J178" s="408"/>
      <c r="K178" s="408"/>
      <c r="L178" s="408"/>
      <c r="M178" s="413"/>
      <c r="N178" s="410"/>
      <c r="O178" s="411"/>
    </row>
    <row r="179" spans="1:15" ht="31.5" customHeight="1" x14ac:dyDescent="0.2">
      <c r="A179" s="624" t="s">
        <v>172</v>
      </c>
      <c r="B179" s="625">
        <v>900000</v>
      </c>
      <c r="C179" s="625">
        <v>900000</v>
      </c>
      <c r="G179" s="358"/>
      <c r="H179" s="411"/>
      <c r="I179" s="408"/>
      <c r="J179" s="408"/>
      <c r="K179" s="408"/>
      <c r="L179" s="414"/>
      <c r="M179" s="409"/>
      <c r="N179" s="410"/>
      <c r="O179" s="411"/>
    </row>
    <row r="180" spans="1:15" ht="15" customHeight="1" x14ac:dyDescent="0.2">
      <c r="A180" s="626" t="s">
        <v>84</v>
      </c>
      <c r="B180" s="627">
        <f>SUM(B170:B179)</f>
        <v>1915418</v>
      </c>
      <c r="C180" s="627">
        <f>SUM(C170:C179)</f>
        <v>1911219</v>
      </c>
      <c r="G180" s="358"/>
      <c r="H180" s="418"/>
      <c r="I180" s="408"/>
      <c r="J180" s="408"/>
      <c r="K180" s="408"/>
      <c r="L180" s="408"/>
      <c r="M180" s="409"/>
      <c r="N180" s="410"/>
      <c r="O180" s="411"/>
    </row>
    <row r="181" spans="1:15" ht="15" customHeight="1" x14ac:dyDescent="0.2">
      <c r="A181" s="622" t="s">
        <v>153</v>
      </c>
      <c r="B181" s="628"/>
      <c r="C181" s="628"/>
      <c r="G181" s="358"/>
      <c r="H181" s="412"/>
      <c r="I181" s="408"/>
      <c r="J181" s="408"/>
      <c r="K181" s="408"/>
      <c r="L181" s="408"/>
      <c r="M181" s="409"/>
      <c r="N181" s="410"/>
      <c r="O181" s="411"/>
    </row>
    <row r="182" spans="1:15" ht="15" customHeight="1" x14ac:dyDescent="0.2">
      <c r="A182" s="624" t="s">
        <v>154</v>
      </c>
      <c r="B182" s="625">
        <v>74093</v>
      </c>
      <c r="C182" s="625">
        <v>71093</v>
      </c>
      <c r="G182" s="358"/>
      <c r="H182" s="412"/>
      <c r="I182" s="408"/>
      <c r="J182" s="408"/>
      <c r="K182" s="408"/>
      <c r="L182" s="408"/>
      <c r="M182" s="409"/>
      <c r="N182" s="410"/>
      <c r="O182" s="411"/>
    </row>
    <row r="183" spans="1:15" ht="15" customHeight="1" x14ac:dyDescent="0.2">
      <c r="A183" s="624" t="s">
        <v>156</v>
      </c>
      <c r="B183" s="625">
        <v>2310</v>
      </c>
      <c r="C183" s="625">
        <v>2074</v>
      </c>
      <c r="G183" s="358"/>
      <c r="H183" s="412"/>
      <c r="I183" s="408"/>
      <c r="J183" s="412"/>
      <c r="K183" s="408"/>
      <c r="L183" s="408"/>
      <c r="M183" s="413"/>
      <c r="N183" s="410"/>
      <c r="O183" s="411"/>
    </row>
    <row r="184" spans="1:15" ht="26.25" customHeight="1" x14ac:dyDescent="0.2">
      <c r="A184" s="626" t="s">
        <v>157</v>
      </c>
      <c r="B184" s="627">
        <f>SUM(B182:B183)</f>
        <v>76403</v>
      </c>
      <c r="C184" s="627">
        <f>SUM(C182:C183)</f>
        <v>73167</v>
      </c>
      <c r="G184" s="358"/>
      <c r="H184" s="412"/>
      <c r="I184" s="408"/>
      <c r="J184" s="412"/>
      <c r="K184" s="408"/>
      <c r="L184" s="408"/>
      <c r="M184" s="413"/>
      <c r="N184" s="410"/>
      <c r="O184" s="411"/>
    </row>
    <row r="185" spans="1:15" ht="15" customHeight="1" x14ac:dyDescent="0.2">
      <c r="A185" s="622" t="s">
        <v>160</v>
      </c>
      <c r="B185" s="628"/>
      <c r="C185" s="628"/>
      <c r="G185" s="358"/>
      <c r="H185" s="412"/>
      <c r="I185" s="408"/>
      <c r="J185" s="412"/>
      <c r="K185" s="408"/>
      <c r="L185" s="408"/>
      <c r="M185" s="413"/>
      <c r="N185" s="410"/>
      <c r="O185" s="411"/>
    </row>
    <row r="186" spans="1:15" ht="15" customHeight="1" x14ac:dyDescent="0.2">
      <c r="A186" s="624" t="s">
        <v>161</v>
      </c>
      <c r="B186" s="625">
        <v>73300</v>
      </c>
      <c r="C186" s="625">
        <v>73300</v>
      </c>
      <c r="G186" s="358"/>
      <c r="H186" s="412"/>
      <c r="I186" s="408"/>
      <c r="J186" s="412"/>
      <c r="K186" s="408"/>
      <c r="L186" s="408"/>
      <c r="M186" s="413"/>
      <c r="N186" s="410"/>
      <c r="O186" s="411"/>
    </row>
    <row r="187" spans="1:15" ht="16" x14ac:dyDescent="0.2">
      <c r="A187" s="624" t="s">
        <v>162</v>
      </c>
      <c r="B187" s="625">
        <v>2448</v>
      </c>
      <c r="C187" s="625">
        <v>3930</v>
      </c>
      <c r="G187" s="358"/>
      <c r="H187" s="412"/>
      <c r="I187" s="408"/>
      <c r="J187" s="412"/>
      <c r="K187" s="408"/>
      <c r="L187" s="408"/>
      <c r="M187" s="413"/>
      <c r="N187" s="410"/>
      <c r="O187" s="411"/>
    </row>
    <row r="188" spans="1:15" ht="15" customHeight="1" x14ac:dyDescent="0.2">
      <c r="A188" s="624" t="s">
        <v>163</v>
      </c>
      <c r="B188" s="625">
        <v>4232</v>
      </c>
      <c r="C188" s="625">
        <v>4173</v>
      </c>
      <c r="G188" s="358"/>
      <c r="H188" s="412"/>
      <c r="I188" s="408"/>
      <c r="J188" s="412"/>
      <c r="K188" s="408"/>
      <c r="L188" s="408"/>
      <c r="M188" s="413"/>
      <c r="N188" s="410"/>
      <c r="O188" s="411"/>
    </row>
    <row r="189" spans="1:15" ht="15" customHeight="1" x14ac:dyDescent="0.2">
      <c r="A189" s="624" t="s">
        <v>923</v>
      </c>
      <c r="B189" s="625">
        <v>26084</v>
      </c>
      <c r="C189" s="625">
        <v>0</v>
      </c>
      <c r="G189" s="358"/>
      <c r="H189" s="412"/>
      <c r="I189" s="408"/>
      <c r="J189" s="412"/>
      <c r="K189" s="408"/>
      <c r="L189" s="408"/>
      <c r="M189" s="413"/>
      <c r="N189" s="410"/>
      <c r="O189" s="411"/>
    </row>
    <row r="190" spans="1:15" ht="15" customHeight="1" x14ac:dyDescent="0.2">
      <c r="A190" s="624" t="s">
        <v>111</v>
      </c>
      <c r="B190" s="625">
        <v>26700</v>
      </c>
      <c r="C190" s="625">
        <v>26700</v>
      </c>
      <c r="G190" s="358"/>
      <c r="H190" s="412"/>
      <c r="I190" s="408"/>
      <c r="J190" s="412"/>
      <c r="K190" s="408"/>
      <c r="L190" s="408"/>
      <c r="M190" s="413"/>
      <c r="N190" s="410"/>
      <c r="O190" s="411"/>
    </row>
    <row r="191" spans="1:15" ht="15" customHeight="1" x14ac:dyDescent="0.2">
      <c r="A191" s="626" t="s">
        <v>164</v>
      </c>
      <c r="B191" s="627">
        <f>SUM(B186:B190)</f>
        <v>132764</v>
      </c>
      <c r="C191" s="627">
        <f>SUM(C186:C190)</f>
        <v>108103</v>
      </c>
      <c r="G191" s="358"/>
      <c r="H191" s="412"/>
      <c r="I191" s="408"/>
      <c r="J191" s="412"/>
      <c r="K191" s="408"/>
      <c r="L191" s="408"/>
      <c r="M191" s="413"/>
      <c r="N191" s="410"/>
      <c r="O191" s="411"/>
    </row>
    <row r="192" spans="1:15" ht="15" customHeight="1" x14ac:dyDescent="0.2">
      <c r="A192" s="624" t="s">
        <v>23</v>
      </c>
      <c r="B192" s="625">
        <v>1171</v>
      </c>
      <c r="C192" s="625">
        <f>1413+16000</f>
        <v>17413</v>
      </c>
      <c r="G192" s="358"/>
      <c r="H192" s="412"/>
      <c r="I192" s="408"/>
      <c r="J192" s="412"/>
      <c r="K192" s="408"/>
      <c r="L192" s="408"/>
      <c r="M192" s="413"/>
      <c r="N192" s="410"/>
      <c r="O192" s="411"/>
    </row>
    <row r="193" spans="1:15" ht="15" customHeight="1" x14ac:dyDescent="0.2">
      <c r="A193" s="626" t="s">
        <v>174</v>
      </c>
      <c r="B193" s="627">
        <f>+B192</f>
        <v>1171</v>
      </c>
      <c r="C193" s="627">
        <f>+C192</f>
        <v>17413</v>
      </c>
      <c r="G193" s="358"/>
      <c r="H193" s="412"/>
      <c r="I193" s="408"/>
      <c r="J193" s="412"/>
      <c r="K193" s="408"/>
      <c r="L193" s="408"/>
      <c r="M193" s="413"/>
      <c r="N193" s="410"/>
      <c r="O193" s="411"/>
    </row>
    <row r="194" spans="1:15" ht="15" customHeight="1" x14ac:dyDescent="0.2">
      <c r="B194" s="406"/>
      <c r="G194" s="358"/>
      <c r="H194" s="412"/>
      <c r="I194" s="408"/>
      <c r="J194" s="412"/>
      <c r="K194" s="408"/>
      <c r="L194" s="408"/>
      <c r="M194" s="413"/>
      <c r="N194" s="410"/>
      <c r="O194" s="411"/>
    </row>
    <row r="195" spans="1:15" ht="15" customHeight="1" x14ac:dyDescent="0.2">
      <c r="B195" s="406"/>
      <c r="G195" s="358"/>
      <c r="H195" s="412"/>
      <c r="I195" s="408"/>
      <c r="J195" s="412"/>
      <c r="K195" s="408"/>
      <c r="L195" s="408"/>
      <c r="M195" s="413"/>
      <c r="N195" s="410"/>
      <c r="O195" s="411"/>
    </row>
    <row r="196" spans="1:15" ht="15" customHeight="1" x14ac:dyDescent="0.2">
      <c r="G196" s="359"/>
      <c r="H196" s="408"/>
      <c r="I196" s="414"/>
      <c r="J196" s="414"/>
      <c r="K196" s="414"/>
      <c r="L196" s="414"/>
      <c r="M196" s="414"/>
      <c r="N196" s="410"/>
      <c r="O196" s="411"/>
    </row>
    <row r="197" spans="1:15" ht="15" customHeight="1" x14ac:dyDescent="0.2">
      <c r="B197" s="406"/>
      <c r="G197" s="360"/>
      <c r="H197" s="415"/>
      <c r="I197" s="415"/>
      <c r="J197" s="415"/>
      <c r="K197" s="415"/>
      <c r="L197" s="411"/>
      <c r="M197" s="411"/>
      <c r="N197" s="411"/>
      <c r="O197" s="411"/>
    </row>
    <row r="198" spans="1:15" ht="15" customHeight="1" x14ac:dyDescent="0.2">
      <c r="G198" s="360"/>
      <c r="H198" s="415"/>
      <c r="I198" s="412"/>
      <c r="J198" s="412"/>
      <c r="K198" s="415"/>
      <c r="L198" s="412"/>
      <c r="M198" s="411"/>
      <c r="N198" s="411"/>
      <c r="O198" s="411"/>
    </row>
    <row r="199" spans="1:15" ht="15" customHeight="1" x14ac:dyDescent="0.2">
      <c r="G199" s="356"/>
      <c r="H199" s="416"/>
      <c r="I199" s="416"/>
      <c r="J199" s="415"/>
      <c r="K199" s="415"/>
      <c r="L199" s="411"/>
      <c r="M199" s="411"/>
      <c r="N199" s="411"/>
      <c r="O199" s="411"/>
    </row>
  </sheetData>
  <mergeCells count="7">
    <mergeCell ref="J3:J4"/>
    <mergeCell ref="N3:N4"/>
    <mergeCell ref="G149:G150"/>
    <mergeCell ref="H149:H150"/>
    <mergeCell ref="A18:D18"/>
    <mergeCell ref="I13:O13"/>
    <mergeCell ref="A13:G13"/>
  </mergeCells>
  <pageMargins left="0.7" right="0.7" top="0.75" bottom="0.75" header="0.3" footer="0.3"/>
  <pageSetup orientation="portrait" r:id="rId1"/>
  <ignoredErrors>
    <ignoredError sqref="B97:C97 B105 C169 K49" formulaRange="1"/>
    <ignoredError sqref="D105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B937"/>
  <sheetViews>
    <sheetView topLeftCell="B1" zoomScale="137" zoomScaleNormal="137" workbookViewId="0">
      <selection activeCell="I16" sqref="I16"/>
    </sheetView>
  </sheetViews>
  <sheetFormatPr baseColWidth="10" defaultColWidth="14.5" defaultRowHeight="15" customHeight="1" x14ac:dyDescent="0.15"/>
  <cols>
    <col min="1" max="1" width="10" bestFit="1" customWidth="1"/>
    <col min="2" max="2" width="39.1640625" bestFit="1" customWidth="1"/>
    <col min="3" max="3" width="15.6640625" bestFit="1" customWidth="1"/>
    <col min="4" max="4" width="16.6640625" bestFit="1" customWidth="1"/>
    <col min="5" max="5" width="11.33203125" hidden="1" customWidth="1"/>
    <col min="6" max="6" width="9.33203125" hidden="1" customWidth="1"/>
    <col min="7" max="7" width="9.6640625" bestFit="1" customWidth="1"/>
    <col min="8" max="8" width="15.6640625" bestFit="1" customWidth="1"/>
    <col min="9" max="9" width="21.6640625" bestFit="1" customWidth="1"/>
    <col min="10" max="10" width="21.6640625" customWidth="1"/>
    <col min="11" max="11" width="21.1640625" customWidth="1"/>
    <col min="12" max="12" width="9" bestFit="1" customWidth="1"/>
    <col min="13" max="13" width="10.33203125" bestFit="1" customWidth="1"/>
    <col min="14" max="14" width="10.33203125" customWidth="1"/>
    <col min="15" max="15" width="8.83203125" customWidth="1"/>
    <col min="16" max="16" width="13.83203125" customWidth="1"/>
    <col min="17" max="17" width="10.33203125" customWidth="1"/>
    <col min="18" max="19" width="8.83203125" customWidth="1"/>
    <col min="20" max="20" width="10.33203125" customWidth="1"/>
    <col min="21" max="28" width="8.83203125" customWidth="1"/>
  </cols>
  <sheetData>
    <row r="1" spans="1:28" ht="12.75" customHeight="1" x14ac:dyDescent="0.2">
      <c r="A1" s="1"/>
      <c r="B1" s="1"/>
      <c r="C1" s="1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1"/>
      <c r="X1" s="1"/>
      <c r="Y1" s="1"/>
      <c r="Z1" s="1"/>
      <c r="AA1" s="1"/>
      <c r="AB1" s="1"/>
    </row>
    <row r="2" spans="1:28" ht="12.75" customHeight="1" x14ac:dyDescent="0.2">
      <c r="A2" s="141"/>
      <c r="B2" s="146"/>
      <c r="C2" s="146"/>
      <c r="D2" s="88"/>
      <c r="E2" s="88"/>
      <c r="F2" s="88"/>
      <c r="G2" s="88"/>
      <c r="H2" s="88"/>
      <c r="I2" s="145"/>
      <c r="J2" s="145"/>
      <c r="K2" s="145"/>
      <c r="L2" s="145"/>
      <c r="M2" s="145"/>
      <c r="N2" s="88"/>
      <c r="O2" s="88"/>
      <c r="P2" s="88"/>
      <c r="Q2" s="88"/>
      <c r="R2" s="88"/>
      <c r="S2" s="88"/>
      <c r="T2" s="88"/>
      <c r="U2" s="88"/>
      <c r="V2" s="88"/>
      <c r="W2" s="1"/>
      <c r="X2" s="1"/>
      <c r="Y2" s="1"/>
      <c r="Z2" s="1"/>
      <c r="AA2" s="1"/>
      <c r="AB2" s="1"/>
    </row>
    <row r="3" spans="1:28" ht="12.75" customHeight="1" thickBot="1" x14ac:dyDescent="0.25">
      <c r="A3" s="141"/>
      <c r="B3" s="146"/>
      <c r="C3" s="146"/>
      <c r="D3" s="88"/>
      <c r="E3" s="88"/>
      <c r="F3" s="88"/>
      <c r="G3" s="88"/>
      <c r="H3" s="88"/>
      <c r="I3" s="145"/>
      <c r="J3" s="145"/>
      <c r="K3" s="145"/>
      <c r="L3" s="145"/>
      <c r="M3" s="145"/>
      <c r="N3" s="88"/>
      <c r="O3" s="88"/>
      <c r="P3" s="88"/>
      <c r="Q3" s="88"/>
      <c r="R3" s="88"/>
      <c r="S3" s="88"/>
      <c r="T3" s="88"/>
      <c r="U3" s="88"/>
      <c r="V3" s="88"/>
      <c r="W3" s="1"/>
      <c r="X3" s="1"/>
      <c r="Y3" s="1"/>
      <c r="Z3" s="1"/>
      <c r="AA3" s="1"/>
      <c r="AB3" s="1"/>
    </row>
    <row r="4" spans="1:28" ht="27" customHeight="1" x14ac:dyDescent="0.2">
      <c r="A4" s="141" t="s">
        <v>491</v>
      </c>
      <c r="B4" s="270" t="s">
        <v>492</v>
      </c>
      <c r="C4" s="180" t="s">
        <v>866</v>
      </c>
      <c r="D4" s="179" t="s">
        <v>952</v>
      </c>
      <c r="E4" s="136" t="s">
        <v>493</v>
      </c>
      <c r="F4" s="136" t="s">
        <v>494</v>
      </c>
      <c r="G4" s="137" t="s">
        <v>951</v>
      </c>
      <c r="H4" s="180" t="s">
        <v>953</v>
      </c>
      <c r="I4" s="145"/>
      <c r="J4" s="145"/>
      <c r="K4" s="145"/>
      <c r="L4" s="145"/>
      <c r="M4" s="145"/>
      <c r="N4" s="88"/>
      <c r="O4" s="88"/>
      <c r="P4" s="88"/>
      <c r="Q4" s="88"/>
      <c r="R4" s="88"/>
      <c r="S4" s="88"/>
      <c r="T4" s="88"/>
      <c r="U4" s="88"/>
      <c r="V4" s="88"/>
      <c r="W4" s="1"/>
      <c r="X4" s="1"/>
      <c r="Y4" s="1"/>
      <c r="Z4" s="1"/>
      <c r="AA4" s="1"/>
      <c r="AB4" s="1"/>
    </row>
    <row r="5" spans="1:28" ht="12.75" customHeight="1" x14ac:dyDescent="0.2">
      <c r="A5" s="141"/>
      <c r="B5" s="138" t="s">
        <v>495</v>
      </c>
      <c r="C5" s="639"/>
      <c r="D5" s="139"/>
      <c r="E5" s="139"/>
      <c r="F5" s="139"/>
      <c r="G5" s="139"/>
      <c r="H5" s="140"/>
      <c r="I5" s="145"/>
      <c r="J5" s="145"/>
      <c r="K5" s="145"/>
      <c r="L5" s="145"/>
      <c r="M5" s="145"/>
      <c r="N5" s="88"/>
      <c r="O5" s="88"/>
      <c r="P5" s="88"/>
      <c r="Q5" s="88"/>
      <c r="R5" s="88"/>
      <c r="S5" s="88"/>
      <c r="T5" s="88"/>
      <c r="U5" s="88"/>
      <c r="V5" s="88"/>
      <c r="W5" s="1"/>
      <c r="X5" s="1"/>
      <c r="Y5" s="1"/>
      <c r="Z5" s="1"/>
      <c r="AA5" s="1"/>
      <c r="AB5" s="1"/>
    </row>
    <row r="6" spans="1:28" ht="16" customHeight="1" x14ac:dyDescent="0.2">
      <c r="A6" s="141" t="s">
        <v>496</v>
      </c>
      <c r="B6" s="142" t="s">
        <v>497</v>
      </c>
      <c r="C6" s="640">
        <v>600</v>
      </c>
      <c r="D6" s="607">
        <v>6500</v>
      </c>
      <c r="E6" s="607"/>
      <c r="F6" s="607"/>
      <c r="G6" s="607">
        <v>-7100.04</v>
      </c>
      <c r="H6" s="608">
        <f>SUM(C6:G6)</f>
        <v>-3.999999999996362E-2</v>
      </c>
      <c r="I6" s="487" t="s">
        <v>103</v>
      </c>
      <c r="J6" s="487"/>
      <c r="K6" s="487"/>
      <c r="L6" s="145"/>
      <c r="M6" s="145"/>
      <c r="N6" s="88"/>
      <c r="O6" s="88"/>
      <c r="P6" s="88"/>
      <c r="Q6" s="88"/>
      <c r="R6" s="88"/>
      <c r="S6" s="88"/>
      <c r="T6" s="88"/>
      <c r="U6" s="88"/>
      <c r="V6" s="88"/>
      <c r="W6" s="1"/>
      <c r="X6" s="1"/>
      <c r="Y6" s="1"/>
      <c r="Z6" s="1"/>
      <c r="AA6" s="1"/>
      <c r="AB6" s="1"/>
    </row>
    <row r="7" spans="1:28" ht="15" customHeight="1" x14ac:dyDescent="0.2">
      <c r="A7" s="141" t="s">
        <v>498</v>
      </c>
      <c r="B7" s="142" t="s">
        <v>499</v>
      </c>
      <c r="C7" s="640">
        <v>1</v>
      </c>
      <c r="D7" s="607">
        <v>16000</v>
      </c>
      <c r="E7" s="607"/>
      <c r="F7" s="607"/>
      <c r="G7" s="607">
        <v>-13000</v>
      </c>
      <c r="H7" s="608">
        <f t="shared" ref="H7:H13" si="0">SUM(C7:G7)</f>
        <v>3001</v>
      </c>
      <c r="I7" s="487" t="s">
        <v>963</v>
      </c>
      <c r="J7" s="487"/>
      <c r="K7" s="145"/>
      <c r="L7" s="145"/>
      <c r="M7" s="145"/>
      <c r="N7" s="88"/>
      <c r="O7" s="88"/>
      <c r="P7" s="88"/>
      <c r="Q7" s="88"/>
      <c r="R7" s="88"/>
      <c r="S7" s="88"/>
      <c r="T7" s="88"/>
      <c r="U7" s="88"/>
      <c r="V7" s="88"/>
      <c r="W7" s="1"/>
      <c r="X7" s="1"/>
      <c r="Y7" s="1"/>
      <c r="Z7" s="1"/>
      <c r="AA7" s="1"/>
      <c r="AB7" s="1"/>
    </row>
    <row r="8" spans="1:28" ht="15" customHeight="1" x14ac:dyDescent="0.2">
      <c r="A8" s="141" t="s">
        <v>500</v>
      </c>
      <c r="B8" s="142" t="s">
        <v>501</v>
      </c>
      <c r="C8" s="640">
        <v>4384</v>
      </c>
      <c r="D8" s="607">
        <f>76000+3500</f>
        <v>79500</v>
      </c>
      <c r="E8" s="607"/>
      <c r="F8" s="607"/>
      <c r="G8" s="607">
        <f>-81909+251.11</f>
        <v>-81657.89</v>
      </c>
      <c r="H8" s="608">
        <f t="shared" si="0"/>
        <v>2226.1100000000006</v>
      </c>
      <c r="I8" s="487" t="s">
        <v>963</v>
      </c>
      <c r="J8" s="487"/>
      <c r="K8" s="648" t="s">
        <v>950</v>
      </c>
      <c r="L8" s="646">
        <f>SUM(L9:L10)</f>
        <v>2226</v>
      </c>
      <c r="M8" s="145"/>
      <c r="N8" s="88"/>
      <c r="O8" s="88"/>
      <c r="P8" s="88"/>
      <c r="Q8" s="88"/>
      <c r="R8" s="88"/>
      <c r="S8" s="88"/>
      <c r="T8" s="88"/>
      <c r="U8" s="88"/>
      <c r="V8" s="88"/>
      <c r="W8" s="1"/>
      <c r="X8" s="1"/>
      <c r="Y8" s="1"/>
      <c r="Z8" s="1"/>
      <c r="AA8" s="1"/>
      <c r="AB8" s="1"/>
    </row>
    <row r="9" spans="1:28" ht="16" customHeight="1" x14ac:dyDescent="0.2">
      <c r="A9" s="141" t="s">
        <v>502</v>
      </c>
      <c r="B9" s="142" t="s">
        <v>503</v>
      </c>
      <c r="C9" s="655">
        <v>100559</v>
      </c>
      <c r="D9" s="607">
        <v>89087</v>
      </c>
      <c r="E9" s="607"/>
      <c r="F9" s="607"/>
      <c r="G9" s="607">
        <v>-149350</v>
      </c>
      <c r="H9" s="608">
        <f t="shared" si="0"/>
        <v>40296</v>
      </c>
      <c r="I9" s="487" t="s">
        <v>103</v>
      </c>
      <c r="J9" s="487"/>
      <c r="K9" s="647" t="s">
        <v>689</v>
      </c>
      <c r="L9" s="647">
        <v>1722</v>
      </c>
      <c r="M9" s="145">
        <v>600</v>
      </c>
      <c r="N9" s="88">
        <f>SUM(L9:M9)</f>
        <v>2322</v>
      </c>
      <c r="O9" s="198">
        <v>1424.54</v>
      </c>
      <c r="P9" s="198" t="s">
        <v>1184</v>
      </c>
      <c r="Q9" s="88"/>
      <c r="R9" s="88"/>
      <c r="S9" s="88"/>
      <c r="T9" s="88"/>
      <c r="U9" s="88"/>
      <c r="V9" s="88"/>
      <c r="W9" s="1"/>
      <c r="X9" s="1"/>
      <c r="Y9" s="1"/>
      <c r="Z9" s="1"/>
      <c r="AA9" s="1"/>
      <c r="AB9" s="1"/>
    </row>
    <row r="10" spans="1:28" ht="15" customHeight="1" x14ac:dyDescent="0.2">
      <c r="A10" s="649" t="s">
        <v>504</v>
      </c>
      <c r="B10" s="650" t="s">
        <v>505</v>
      </c>
      <c r="C10" s="651">
        <v>0</v>
      </c>
      <c r="D10" s="652">
        <v>0</v>
      </c>
      <c r="E10" s="652"/>
      <c r="F10" s="654">
        <v>-12911.73</v>
      </c>
      <c r="G10" s="652">
        <v>0</v>
      </c>
      <c r="H10" s="653">
        <v>0</v>
      </c>
      <c r="I10" s="145"/>
      <c r="J10" s="145"/>
      <c r="K10" s="647" t="s">
        <v>690</v>
      </c>
      <c r="L10" s="647">
        <v>504</v>
      </c>
      <c r="M10" s="145"/>
      <c r="N10" s="88"/>
      <c r="O10" s="88">
        <v>897.46</v>
      </c>
      <c r="P10" s="198" t="s">
        <v>1185</v>
      </c>
      <c r="Q10" s="88"/>
      <c r="R10" s="88"/>
      <c r="S10" s="88"/>
      <c r="T10" s="88"/>
      <c r="U10" s="88"/>
      <c r="V10" s="88"/>
      <c r="W10" s="1"/>
      <c r="X10" s="1"/>
      <c r="Y10" s="1"/>
      <c r="Z10" s="1"/>
      <c r="AA10" s="1"/>
      <c r="AB10" s="1"/>
    </row>
    <row r="11" spans="1:28" ht="26" customHeight="1" x14ac:dyDescent="0.2">
      <c r="A11" s="141" t="s">
        <v>506</v>
      </c>
      <c r="B11" s="142" t="s">
        <v>507</v>
      </c>
      <c r="C11" s="655">
        <v>16035</v>
      </c>
      <c r="D11" s="991">
        <v>48122</v>
      </c>
      <c r="E11" s="607"/>
      <c r="F11" s="607"/>
      <c r="G11" s="991">
        <v>-62323</v>
      </c>
      <c r="H11" s="608">
        <f t="shared" si="0"/>
        <v>1834</v>
      </c>
      <c r="I11" s="487" t="s">
        <v>965</v>
      </c>
      <c r="J11" s="487"/>
      <c r="K11" s="145"/>
      <c r="L11" s="145"/>
      <c r="M11" s="145"/>
      <c r="N11" s="88"/>
      <c r="O11" s="88"/>
      <c r="P11" s="88"/>
      <c r="Q11" s="88"/>
      <c r="R11" s="88"/>
      <c r="S11" s="88"/>
      <c r="T11" s="88"/>
      <c r="U11" s="88"/>
      <c r="V11" s="88"/>
      <c r="W11" s="1"/>
      <c r="X11" s="1"/>
      <c r="Y11" s="1"/>
      <c r="Z11" s="1"/>
      <c r="AA11" s="1"/>
      <c r="AB11" s="1"/>
    </row>
    <row r="12" spans="1:28" ht="12.75" customHeight="1" x14ac:dyDescent="0.2">
      <c r="A12" s="649" t="s">
        <v>547</v>
      </c>
      <c r="B12" s="650" t="s">
        <v>508</v>
      </c>
      <c r="C12" s="651">
        <v>0</v>
      </c>
      <c r="D12" s="652">
        <v>0</v>
      </c>
      <c r="E12" s="652"/>
      <c r="F12" s="652"/>
      <c r="G12" s="654">
        <v>0</v>
      </c>
      <c r="H12" s="653">
        <f t="shared" si="0"/>
        <v>0</v>
      </c>
      <c r="I12" s="145"/>
      <c r="J12" s="145"/>
      <c r="K12" s="145"/>
      <c r="L12" s="145"/>
      <c r="M12" s="145"/>
      <c r="N12" s="88"/>
      <c r="O12" s="88"/>
      <c r="P12" s="88"/>
      <c r="Q12" s="88"/>
      <c r="R12" s="88"/>
      <c r="S12" s="88"/>
      <c r="T12" s="88"/>
      <c r="U12" s="88"/>
      <c r="V12" s="88"/>
      <c r="W12" s="1"/>
      <c r="X12" s="1"/>
      <c r="Y12" s="1"/>
      <c r="Z12" s="1"/>
      <c r="AA12" s="1"/>
      <c r="AB12" s="1"/>
    </row>
    <row r="13" spans="1:28" ht="29" customHeight="1" x14ac:dyDescent="0.2">
      <c r="A13" s="141" t="s">
        <v>691</v>
      </c>
      <c r="B13" s="656" t="s">
        <v>650</v>
      </c>
      <c r="C13" s="657">
        <v>58994</v>
      </c>
      <c r="D13" s="607">
        <v>120270</v>
      </c>
      <c r="E13" s="607"/>
      <c r="F13" s="607"/>
      <c r="G13" s="609">
        <v>-58994</v>
      </c>
      <c r="H13" s="608">
        <f t="shared" si="0"/>
        <v>120270</v>
      </c>
      <c r="I13" s="487" t="s">
        <v>975</v>
      </c>
      <c r="J13" s="487"/>
      <c r="K13" s="145"/>
      <c r="L13" s="145"/>
      <c r="M13" s="145"/>
      <c r="N13" s="88"/>
      <c r="O13" s="88"/>
      <c r="P13" s="88"/>
      <c r="Q13" s="88"/>
      <c r="R13" s="88"/>
      <c r="S13" s="88"/>
      <c r="T13" s="88"/>
      <c r="U13" s="88"/>
      <c r="V13" s="88"/>
      <c r="W13" s="1"/>
      <c r="X13" s="1"/>
      <c r="Y13" s="1"/>
      <c r="Z13" s="1"/>
      <c r="AA13" s="1"/>
      <c r="AB13" s="1"/>
    </row>
    <row r="14" spans="1:28" ht="12.75" customHeight="1" x14ac:dyDescent="0.2">
      <c r="A14" s="141"/>
      <c r="B14" s="138" t="s">
        <v>155</v>
      </c>
      <c r="C14" s="641">
        <f>SUM(C6:C13)</f>
        <v>180573</v>
      </c>
      <c r="D14" s="610">
        <f>SUM(D6:D13)</f>
        <v>359479</v>
      </c>
      <c r="E14" s="610">
        <v>0</v>
      </c>
      <c r="F14" s="610">
        <v>-12911.73</v>
      </c>
      <c r="G14" s="610">
        <f>SUM(G6:G13)</f>
        <v>-372424.93</v>
      </c>
      <c r="H14" s="611">
        <f>SUM(H6:H13)</f>
        <v>167627.07</v>
      </c>
      <c r="K14" s="145"/>
      <c r="L14" s="145"/>
      <c r="M14" s="145"/>
      <c r="N14" s="88"/>
      <c r="O14" s="88"/>
      <c r="P14" s="88"/>
      <c r="Q14" s="88"/>
      <c r="R14" s="88"/>
      <c r="S14" s="88"/>
      <c r="T14" s="88"/>
      <c r="U14" s="88"/>
      <c r="V14" s="88"/>
      <c r="W14" s="1"/>
      <c r="X14" s="1"/>
      <c r="Y14" s="1"/>
      <c r="Z14" s="1"/>
      <c r="AA14" s="1"/>
      <c r="AB14" s="1"/>
    </row>
    <row r="15" spans="1:28" ht="12.75" customHeight="1" x14ac:dyDescent="0.2">
      <c r="A15" s="141"/>
      <c r="B15" s="138" t="s">
        <v>509</v>
      </c>
      <c r="C15" s="641"/>
      <c r="D15" s="610"/>
      <c r="E15" s="610"/>
      <c r="F15" s="610"/>
      <c r="G15" s="610"/>
      <c r="H15" s="611"/>
      <c r="I15" s="145"/>
      <c r="J15" s="145"/>
      <c r="K15" s="145"/>
      <c r="L15" s="145"/>
      <c r="M15" s="145"/>
      <c r="N15" s="88"/>
      <c r="O15" s="88"/>
      <c r="P15" s="88"/>
      <c r="Q15" s="88"/>
      <c r="R15" s="88"/>
      <c r="S15" s="88"/>
      <c r="T15" s="88"/>
      <c r="U15" s="88"/>
      <c r="V15" s="88"/>
      <c r="W15" s="1"/>
      <c r="X15" s="1"/>
      <c r="Y15" s="1"/>
      <c r="Z15" s="1"/>
      <c r="AA15" s="1"/>
      <c r="AB15" s="1"/>
    </row>
    <row r="16" spans="1:28" ht="23" customHeight="1" x14ac:dyDescent="0.2">
      <c r="A16" s="141" t="s">
        <v>510</v>
      </c>
      <c r="B16" s="142" t="s">
        <v>511</v>
      </c>
      <c r="C16" s="655">
        <v>5647</v>
      </c>
      <c r="D16" s="609">
        <v>8488</v>
      </c>
      <c r="E16" s="607"/>
      <c r="F16" s="607"/>
      <c r="G16" s="607">
        <v>-5457</v>
      </c>
      <c r="H16" s="608">
        <f>+C16+D16+G16</f>
        <v>8678</v>
      </c>
      <c r="I16" s="487" t="s">
        <v>103</v>
      </c>
      <c r="J16" s="487"/>
      <c r="K16" s="145"/>
      <c r="L16" s="145"/>
      <c r="M16" s="145"/>
      <c r="N16" s="88"/>
      <c r="O16" s="88"/>
      <c r="P16" s="88"/>
      <c r="Q16" s="88"/>
      <c r="R16" s="88"/>
      <c r="S16" s="88"/>
      <c r="T16" s="88"/>
      <c r="U16" s="88"/>
      <c r="V16" s="88"/>
      <c r="W16" s="1"/>
      <c r="X16" s="1"/>
      <c r="Y16" s="1"/>
      <c r="Z16" s="1"/>
      <c r="AA16" s="1"/>
      <c r="AB16" s="1"/>
    </row>
    <row r="17" spans="1:28" ht="12.75" customHeight="1" x14ac:dyDescent="0.2">
      <c r="A17" s="141"/>
      <c r="B17" s="138" t="s">
        <v>155</v>
      </c>
      <c r="C17" s="641"/>
      <c r="D17" s="610">
        <f t="shared" ref="D17:H17" si="1">SUM(D16)</f>
        <v>8488</v>
      </c>
      <c r="E17" s="610">
        <f t="shared" si="1"/>
        <v>0</v>
      </c>
      <c r="F17" s="610">
        <f t="shared" si="1"/>
        <v>0</v>
      </c>
      <c r="G17" s="610">
        <f t="shared" si="1"/>
        <v>-5457</v>
      </c>
      <c r="H17" s="610">
        <f t="shared" si="1"/>
        <v>8678</v>
      </c>
      <c r="I17" s="145"/>
      <c r="J17" s="145"/>
      <c r="K17" s="145"/>
      <c r="L17" s="145"/>
      <c r="M17" s="145"/>
      <c r="N17" s="88"/>
      <c r="O17" s="88"/>
      <c r="P17" s="88"/>
      <c r="Q17" s="88"/>
      <c r="R17" s="88"/>
      <c r="S17" s="88"/>
      <c r="T17" s="88"/>
      <c r="U17" s="88"/>
      <c r="V17" s="88"/>
      <c r="W17" s="1"/>
      <c r="X17" s="1"/>
      <c r="Y17" s="1"/>
      <c r="Z17" s="1"/>
      <c r="AA17" s="1"/>
      <c r="AB17" s="1"/>
    </row>
    <row r="18" spans="1:28" ht="12.75" customHeight="1" x14ac:dyDescent="0.2">
      <c r="A18" s="141"/>
      <c r="B18" s="143" t="s">
        <v>512</v>
      </c>
      <c r="C18" s="642"/>
      <c r="D18" s="610"/>
      <c r="E18" s="610"/>
      <c r="F18" s="610"/>
      <c r="G18" s="610"/>
      <c r="H18" s="611"/>
      <c r="I18" s="145"/>
      <c r="J18" s="145"/>
      <c r="K18" s="145"/>
      <c r="L18" s="145"/>
      <c r="M18" s="145"/>
      <c r="N18" s="88"/>
      <c r="O18" s="88"/>
      <c r="P18" s="88"/>
      <c r="Q18" s="88"/>
      <c r="R18" s="88"/>
      <c r="S18" s="88"/>
      <c r="T18" s="88"/>
      <c r="U18" s="88"/>
      <c r="V18" s="88"/>
      <c r="W18" s="1"/>
      <c r="X18" s="1"/>
      <c r="Y18" s="1"/>
      <c r="Z18" s="1"/>
      <c r="AA18" s="1"/>
      <c r="AB18" s="1"/>
    </row>
    <row r="19" spans="1:28" ht="12.75" customHeight="1" x14ac:dyDescent="0.2">
      <c r="A19" s="141" t="s">
        <v>513</v>
      </c>
      <c r="B19" s="142" t="s">
        <v>514</v>
      </c>
      <c r="C19" s="640">
        <v>7853</v>
      </c>
      <c r="D19" s="609">
        <v>6600</v>
      </c>
      <c r="E19" s="607"/>
      <c r="F19" s="609"/>
      <c r="G19" s="607">
        <v>-5300</v>
      </c>
      <c r="H19" s="608">
        <f>+C19+D19+G19</f>
        <v>9153</v>
      </c>
      <c r="I19" s="487" t="s">
        <v>103</v>
      </c>
      <c r="J19" s="145"/>
      <c r="K19" s="145"/>
      <c r="L19" s="145"/>
      <c r="M19" s="145"/>
      <c r="N19" s="88"/>
      <c r="O19" s="88"/>
      <c r="P19" s="88"/>
      <c r="Q19" s="88"/>
      <c r="R19" s="88"/>
      <c r="S19" s="88"/>
      <c r="T19" s="88"/>
      <c r="U19" s="88"/>
      <c r="V19" s="88"/>
      <c r="W19" s="1"/>
      <c r="X19" s="1"/>
      <c r="Y19" s="1"/>
      <c r="Z19" s="1"/>
      <c r="AA19" s="1"/>
      <c r="AB19" s="1"/>
    </row>
    <row r="20" spans="1:28" ht="12.75" customHeight="1" x14ac:dyDescent="0.2">
      <c r="A20" s="141"/>
      <c r="B20" s="143" t="s">
        <v>155</v>
      </c>
      <c r="C20" s="642"/>
      <c r="D20" s="612">
        <f t="shared" ref="D20:H20" si="2">SUM(D19)</f>
        <v>6600</v>
      </c>
      <c r="E20" s="612">
        <f t="shared" si="2"/>
        <v>0</v>
      </c>
      <c r="F20" s="612">
        <f t="shared" si="2"/>
        <v>0</v>
      </c>
      <c r="G20" s="612">
        <f t="shared" si="2"/>
        <v>-5300</v>
      </c>
      <c r="H20" s="612">
        <f t="shared" si="2"/>
        <v>9153</v>
      </c>
      <c r="I20" s="145"/>
      <c r="J20" s="145"/>
      <c r="K20" s="145"/>
      <c r="L20" s="145"/>
      <c r="M20" s="145"/>
      <c r="N20" s="88"/>
      <c r="O20" s="88"/>
      <c r="P20" s="88"/>
      <c r="Q20" s="88"/>
      <c r="R20" s="88"/>
      <c r="S20" s="88"/>
      <c r="T20" s="88"/>
      <c r="U20" s="88"/>
      <c r="V20" s="88"/>
      <c r="W20" s="1"/>
      <c r="X20" s="1"/>
      <c r="Y20" s="1"/>
      <c r="Z20" s="1"/>
      <c r="AA20" s="1"/>
      <c r="AB20" s="1"/>
    </row>
    <row r="21" spans="1:28" ht="16" thickBot="1" x14ac:dyDescent="0.25">
      <c r="A21" s="141"/>
      <c r="B21" s="144" t="s">
        <v>515</v>
      </c>
      <c r="C21" s="643"/>
      <c r="D21" s="613">
        <f t="shared" ref="D21:F21" si="3">+D20+D17+D14</f>
        <v>374567</v>
      </c>
      <c r="E21" s="613">
        <f t="shared" si="3"/>
        <v>0</v>
      </c>
      <c r="F21" s="613">
        <f t="shared" si="3"/>
        <v>-12911.73</v>
      </c>
      <c r="G21" s="613">
        <f>+G20+G17+G14</f>
        <v>-383181.93</v>
      </c>
      <c r="H21" s="613">
        <f>+H20+H17+H14</f>
        <v>185458.07</v>
      </c>
      <c r="I21" s="145"/>
      <c r="J21" s="145"/>
      <c r="K21" s="145"/>
      <c r="L21" s="145"/>
      <c r="M21" s="145"/>
      <c r="N21" s="88"/>
      <c r="O21" s="88"/>
      <c r="P21" s="88"/>
      <c r="Q21" s="88"/>
      <c r="R21" s="88"/>
      <c r="S21" s="88"/>
      <c r="T21" s="88"/>
      <c r="U21" s="88"/>
      <c r="V21" s="88"/>
      <c r="W21" s="1"/>
      <c r="X21" s="1"/>
      <c r="Y21" s="1"/>
      <c r="Z21" s="1"/>
      <c r="AA21" s="1"/>
      <c r="AB21" s="1"/>
    </row>
    <row r="22" spans="1:28" ht="12.75" customHeight="1" x14ac:dyDescent="0.2">
      <c r="A22" s="141"/>
      <c r="B22" s="146"/>
      <c r="C22" s="146"/>
      <c r="D22" s="88"/>
      <c r="E22" s="88"/>
      <c r="F22" s="88"/>
      <c r="G22" s="88"/>
      <c r="H22" s="88"/>
      <c r="I22" s="145"/>
      <c r="J22" s="145"/>
      <c r="K22" s="145"/>
      <c r="L22" s="145"/>
      <c r="M22" s="145"/>
      <c r="N22" s="88"/>
      <c r="O22" s="88"/>
      <c r="P22" s="88"/>
      <c r="Q22" s="88"/>
      <c r="R22" s="88"/>
      <c r="S22" s="88"/>
      <c r="T22" s="88"/>
      <c r="U22" s="88"/>
      <c r="V22" s="88"/>
      <c r="W22" s="1"/>
      <c r="X22" s="1"/>
      <c r="Y22" s="1"/>
      <c r="Z22" s="1"/>
      <c r="AA22" s="1"/>
      <c r="AB22" s="1"/>
    </row>
    <row r="23" spans="1:28" ht="12.75" customHeight="1" x14ac:dyDescent="0.2">
      <c r="A23" s="141"/>
      <c r="B23" s="146"/>
      <c r="C23" s="146"/>
      <c r="D23" s="88"/>
      <c r="E23" s="88"/>
      <c r="F23" s="88"/>
      <c r="G23" s="88"/>
      <c r="H23" s="88"/>
      <c r="I23" s="145"/>
      <c r="J23" s="145"/>
      <c r="K23" s="145"/>
      <c r="L23" s="145"/>
      <c r="M23" s="145"/>
      <c r="N23" s="88"/>
      <c r="O23" s="88"/>
      <c r="P23" s="88"/>
      <c r="Q23" s="88"/>
      <c r="R23" s="88"/>
      <c r="S23" s="88"/>
      <c r="T23" s="88"/>
      <c r="U23" s="88"/>
      <c r="V23" s="88"/>
      <c r="W23" s="1"/>
      <c r="X23" s="1"/>
      <c r="Y23" s="1"/>
      <c r="Z23" s="1"/>
      <c r="AA23" s="1"/>
      <c r="AB23" s="1"/>
    </row>
    <row r="24" spans="1:28" ht="12.75" customHeight="1" x14ac:dyDescent="0.2">
      <c r="A24" s="1"/>
      <c r="B24" s="1"/>
      <c r="C24" s="1"/>
      <c r="D24" s="88"/>
      <c r="E24" s="88"/>
      <c r="F24" s="88"/>
      <c r="G24" s="88"/>
      <c r="H24" s="88"/>
      <c r="I24" s="145"/>
      <c r="J24" s="145"/>
      <c r="K24" s="145"/>
      <c r="L24" s="145"/>
      <c r="M24" s="145"/>
      <c r="N24" s="88"/>
      <c r="O24" s="88"/>
      <c r="P24" s="88"/>
      <c r="Q24" s="88"/>
      <c r="R24" s="88"/>
      <c r="S24" s="88"/>
      <c r="T24" s="88"/>
      <c r="U24" s="88"/>
      <c r="V24" s="88"/>
      <c r="W24" s="1"/>
      <c r="X24" s="1"/>
      <c r="Y24" s="1"/>
      <c r="Z24" s="1"/>
      <c r="AA24" s="1"/>
      <c r="AB24" s="1"/>
    </row>
    <row r="25" spans="1:28" ht="12.75" customHeight="1" x14ac:dyDescent="0.2">
      <c r="A25" s="1"/>
      <c r="B25" s="1"/>
      <c r="C25" s="1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1"/>
      <c r="X25" s="1"/>
      <c r="Y25" s="1"/>
      <c r="Z25" s="1"/>
      <c r="AA25" s="1"/>
      <c r="AB25" s="1"/>
    </row>
    <row r="26" spans="1:28" ht="12.75" customHeight="1" x14ac:dyDescent="0.2">
      <c r="A26" s="1"/>
      <c r="B26" s="147"/>
      <c r="C26" s="14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1"/>
      <c r="X26" s="1"/>
      <c r="Y26" s="1"/>
      <c r="Z26" s="1"/>
      <c r="AA26" s="1"/>
      <c r="AB26" s="1"/>
    </row>
    <row r="27" spans="1:28" ht="12.75" customHeight="1" x14ac:dyDescent="0.2">
      <c r="A27" s="1"/>
      <c r="B27" s="1"/>
      <c r="C27" s="1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1"/>
      <c r="X27" s="1"/>
      <c r="Y27" s="1"/>
      <c r="Z27" s="1"/>
      <c r="AA27" s="1"/>
      <c r="AB27" s="1"/>
    </row>
    <row r="28" spans="1:28" ht="12.75" customHeight="1" x14ac:dyDescent="0.2">
      <c r="A28" s="1"/>
      <c r="B28" s="1"/>
      <c r="C28" s="1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1"/>
      <c r="X28" s="1"/>
      <c r="Y28" s="1"/>
      <c r="Z28" s="1"/>
      <c r="AA28" s="1"/>
      <c r="AB28" s="1"/>
    </row>
    <row r="29" spans="1:28" ht="12.75" customHeight="1" x14ac:dyDescent="0.2">
      <c r="A29" s="1"/>
      <c r="B29" s="1"/>
      <c r="C29" s="1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1"/>
      <c r="X29" s="1"/>
      <c r="Y29" s="1"/>
      <c r="Z29" s="1"/>
      <c r="AA29" s="1"/>
      <c r="AB29" s="1"/>
    </row>
    <row r="30" spans="1:28" ht="12.75" customHeight="1" x14ac:dyDescent="0.2">
      <c r="A30" s="1"/>
      <c r="B30" s="1"/>
      <c r="C30" s="1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1"/>
      <c r="X30" s="1"/>
      <c r="Y30" s="1"/>
      <c r="Z30" s="1"/>
      <c r="AA30" s="1"/>
      <c r="AB30" s="1"/>
    </row>
    <row r="31" spans="1:28" ht="12.75" customHeight="1" x14ac:dyDescent="0.2">
      <c r="A31" s="1"/>
      <c r="B31" s="1"/>
      <c r="C31" s="1"/>
      <c r="D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1"/>
      <c r="X31" s="1"/>
      <c r="Y31" s="1"/>
      <c r="Z31" s="1"/>
      <c r="AA31" s="1"/>
      <c r="AB31" s="1"/>
    </row>
    <row r="32" spans="1:28" ht="12.75" customHeight="1" x14ac:dyDescent="0.2">
      <c r="A32" s="1"/>
      <c r="B32" s="1"/>
      <c r="C32" s="1"/>
      <c r="D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1"/>
      <c r="X32" s="1"/>
      <c r="Y32" s="1"/>
      <c r="Z32" s="1"/>
      <c r="AA32" s="1"/>
      <c r="AB32" s="1"/>
    </row>
    <row r="33" spans="1:28" ht="12.75" customHeight="1" x14ac:dyDescent="0.2">
      <c r="A33" s="1"/>
      <c r="B33" s="1"/>
      <c r="C33" s="1"/>
      <c r="D33" s="281"/>
      <c r="G33" s="281"/>
      <c r="H33" s="281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1"/>
      <c r="X33" s="1"/>
      <c r="Y33" s="1"/>
      <c r="Z33" s="1"/>
      <c r="AA33" s="1"/>
      <c r="AB33" s="1"/>
    </row>
    <row r="34" spans="1:28" ht="12.75" customHeight="1" x14ac:dyDescent="0.2">
      <c r="A34" s="1"/>
      <c r="B34" s="1"/>
      <c r="C34" s="1"/>
      <c r="D34" s="281"/>
      <c r="G34" s="281"/>
      <c r="H34" s="281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1"/>
      <c r="X34" s="1"/>
      <c r="Y34" s="1"/>
      <c r="Z34" s="1"/>
      <c r="AA34" s="1"/>
      <c r="AB34" s="1"/>
    </row>
    <row r="35" spans="1:28" ht="12.75" customHeight="1" x14ac:dyDescent="0.2">
      <c r="A35" s="1"/>
      <c r="B35" s="1"/>
      <c r="C35" s="1"/>
      <c r="D35" s="281"/>
      <c r="G35" s="281"/>
      <c r="H35" s="281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1"/>
      <c r="X35" s="1"/>
      <c r="Y35" s="1"/>
      <c r="Z35" s="1"/>
      <c r="AA35" s="1"/>
      <c r="AB35" s="1"/>
    </row>
    <row r="36" spans="1:28" ht="12.75" customHeight="1" x14ac:dyDescent="0.2">
      <c r="A36" s="1"/>
      <c r="B36" s="1"/>
      <c r="C36" s="1"/>
      <c r="D36" s="281"/>
      <c r="G36" s="281"/>
      <c r="H36" s="281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1"/>
      <c r="X36" s="1"/>
      <c r="Y36" s="1"/>
      <c r="Z36" s="1"/>
      <c r="AA36" s="1"/>
      <c r="AB36" s="1"/>
    </row>
    <row r="37" spans="1:28" ht="12.75" customHeight="1" x14ac:dyDescent="0.2">
      <c r="A37" s="1"/>
      <c r="B37" s="1"/>
      <c r="C37" s="1"/>
      <c r="D37" s="281"/>
      <c r="G37" s="281"/>
      <c r="H37" s="281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1"/>
      <c r="X37" s="1"/>
      <c r="Y37" s="1"/>
      <c r="Z37" s="1"/>
      <c r="AA37" s="1"/>
      <c r="AB37" s="1"/>
    </row>
    <row r="38" spans="1:28" ht="12.75" customHeight="1" x14ac:dyDescent="0.2">
      <c r="A38" s="1"/>
      <c r="B38" s="1"/>
      <c r="C38" s="1"/>
      <c r="D38" s="281"/>
      <c r="G38" s="281"/>
      <c r="H38" s="281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1"/>
      <c r="X38" s="1"/>
      <c r="Y38" s="1"/>
      <c r="Z38" s="1"/>
      <c r="AA38" s="1"/>
      <c r="AB38" s="1"/>
    </row>
    <row r="39" spans="1:28" ht="12.75" customHeight="1" x14ac:dyDescent="0.2">
      <c r="A39" s="1"/>
      <c r="B39" s="1"/>
      <c r="C39" s="1"/>
      <c r="D39" s="281"/>
      <c r="G39" s="281"/>
      <c r="H39" s="281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1"/>
      <c r="X39" s="1"/>
      <c r="Y39" s="1"/>
      <c r="Z39" s="1"/>
      <c r="AA39" s="1"/>
      <c r="AB39" s="1"/>
    </row>
    <row r="40" spans="1:28" ht="12.75" customHeight="1" x14ac:dyDescent="0.2">
      <c r="A40" s="1"/>
      <c r="B40" s="1"/>
      <c r="C40" s="1"/>
      <c r="D40" s="281"/>
      <c r="G40" s="281"/>
      <c r="H40" s="281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1"/>
      <c r="X40" s="1"/>
      <c r="Y40" s="1"/>
      <c r="Z40" s="1"/>
      <c r="AA40" s="1"/>
      <c r="AB40" s="1"/>
    </row>
    <row r="41" spans="1:28" ht="12.75" customHeight="1" x14ac:dyDescent="0.2">
      <c r="A41" s="1"/>
      <c r="B41" s="11"/>
      <c r="C41" s="11"/>
      <c r="D41" s="282"/>
      <c r="G41" s="282"/>
      <c r="H41" s="282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1"/>
      <c r="X41" s="1"/>
      <c r="Y41" s="1"/>
      <c r="Z41" s="1"/>
      <c r="AA41" s="1"/>
      <c r="AB41" s="1"/>
    </row>
    <row r="42" spans="1:28" ht="12.75" customHeight="1" x14ac:dyDescent="0.2">
      <c r="A42" s="1"/>
      <c r="B42" s="1"/>
      <c r="C42" s="1"/>
      <c r="D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1"/>
      <c r="X42" s="1"/>
      <c r="Y42" s="1"/>
      <c r="Z42" s="1"/>
      <c r="AA42" s="1"/>
      <c r="AB42" s="1"/>
    </row>
    <row r="43" spans="1:28" ht="12.75" customHeight="1" x14ac:dyDescent="0.2">
      <c r="A43" s="1"/>
      <c r="B43" s="1"/>
      <c r="C43" s="1"/>
      <c r="D43" s="281"/>
      <c r="G43" s="281"/>
      <c r="H43" s="281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1"/>
      <c r="X43" s="1"/>
      <c r="Y43" s="1"/>
      <c r="Z43" s="1"/>
      <c r="AA43" s="1"/>
      <c r="AB43" s="1"/>
    </row>
    <row r="44" spans="1:28" ht="12.75" customHeight="1" x14ac:dyDescent="0.2">
      <c r="A44" s="1"/>
      <c r="B44" s="11"/>
      <c r="C44" s="11"/>
      <c r="D44" s="282"/>
      <c r="G44" s="282"/>
      <c r="H44" s="282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/>
      <c r="C46" s="1"/>
      <c r="D46" s="281"/>
      <c r="G46" s="281"/>
      <c r="H46" s="281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/>
      <c r="C47" s="1"/>
      <c r="D47" s="281"/>
      <c r="G47" s="281"/>
      <c r="H47" s="281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1"/>
      <c r="X47" s="1"/>
      <c r="Y47" s="1"/>
      <c r="Z47" s="1"/>
      <c r="AA47" s="1"/>
      <c r="AB47" s="1"/>
    </row>
    <row r="48" spans="1:28" ht="12.75" customHeight="1" x14ac:dyDescent="0.2">
      <c r="A48" s="1"/>
      <c r="B48" s="1"/>
      <c r="C48" s="1"/>
      <c r="D48" s="281"/>
      <c r="G48" s="281"/>
      <c r="H48" s="281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1"/>
      <c r="X48" s="1"/>
      <c r="Y48" s="1"/>
      <c r="Z48" s="1"/>
      <c r="AA48" s="1"/>
      <c r="AB48" s="1"/>
    </row>
    <row r="49" spans="1:28" ht="12.75" customHeight="1" x14ac:dyDescent="0.2">
      <c r="A49" s="1"/>
      <c r="B49" s="11"/>
      <c r="C49" s="11"/>
      <c r="D49" s="282"/>
      <c r="G49" s="282"/>
      <c r="H49" s="282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1"/>
      <c r="X49" s="1"/>
      <c r="Y49" s="1"/>
      <c r="Z49" s="1"/>
      <c r="AA49" s="1"/>
      <c r="AB49" s="1"/>
    </row>
    <row r="50" spans="1:28" ht="12.75" customHeight="1" x14ac:dyDescent="0.2">
      <c r="A50" s="1"/>
      <c r="B50" s="11"/>
      <c r="C50" s="11"/>
      <c r="D50" s="282"/>
      <c r="G50" s="282"/>
      <c r="H50" s="282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1"/>
      <c r="X50" s="1"/>
      <c r="Y50" s="1"/>
      <c r="Z50" s="1"/>
      <c r="AA50" s="1"/>
      <c r="AB50" s="1"/>
    </row>
    <row r="51" spans="1:28" ht="12.75" customHeight="1" x14ac:dyDescent="0.2">
      <c r="A51" s="1"/>
      <c r="B51" s="1"/>
      <c r="C51" s="1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1"/>
      <c r="X51" s="1"/>
      <c r="Y51" s="1"/>
      <c r="Z51" s="1"/>
      <c r="AA51" s="1"/>
      <c r="AB51" s="1"/>
    </row>
    <row r="52" spans="1:28" ht="12.75" customHeight="1" x14ac:dyDescent="0.2">
      <c r="A52" s="1"/>
      <c r="B52" s="1"/>
      <c r="C52" s="1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1"/>
      <c r="X52" s="1"/>
      <c r="Y52" s="1"/>
      <c r="Z52" s="1"/>
      <c r="AA52" s="1"/>
      <c r="AB52" s="1"/>
    </row>
    <row r="53" spans="1:28" ht="12.75" customHeight="1" x14ac:dyDescent="0.2">
      <c r="A53" s="1"/>
      <c r="B53" s="1"/>
      <c r="C53" s="1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1"/>
      <c r="X53" s="1"/>
      <c r="Y53" s="1"/>
      <c r="Z53" s="1"/>
      <c r="AA53" s="1"/>
      <c r="AB53" s="1"/>
    </row>
    <row r="54" spans="1:28" ht="12.75" customHeight="1" x14ac:dyDescent="0.2">
      <c r="A54" s="1"/>
      <c r="B54" s="1"/>
      <c r="C54" s="1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1"/>
      <c r="X54" s="1"/>
      <c r="Y54" s="1"/>
      <c r="Z54" s="1"/>
      <c r="AA54" s="1"/>
      <c r="AB54" s="1"/>
    </row>
    <row r="55" spans="1:28" ht="12.75" customHeight="1" x14ac:dyDescent="0.2">
      <c r="A55" s="1"/>
      <c r="B55" s="1"/>
      <c r="C55" s="1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1"/>
      <c r="X55" s="1"/>
      <c r="Y55" s="1"/>
      <c r="Z55" s="1"/>
      <c r="AA55" s="1"/>
      <c r="AB55" s="1"/>
    </row>
    <row r="56" spans="1:28" ht="12.75" customHeight="1" x14ac:dyDescent="0.2">
      <c r="A56" s="1"/>
      <c r="B56" s="1"/>
      <c r="C56" s="1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1"/>
      <c r="X56" s="1"/>
      <c r="Y56" s="1"/>
      <c r="Z56" s="1"/>
      <c r="AA56" s="1"/>
      <c r="AB56" s="1"/>
    </row>
    <row r="57" spans="1:28" ht="12.75" customHeight="1" x14ac:dyDescent="0.2">
      <c r="A57" s="1"/>
      <c r="B57" s="1"/>
      <c r="C57" s="1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1"/>
      <c r="X57" s="1"/>
      <c r="Y57" s="1"/>
      <c r="Z57" s="1"/>
      <c r="AA57" s="1"/>
      <c r="AB57" s="1"/>
    </row>
    <row r="58" spans="1:28" ht="12.75" customHeight="1" x14ac:dyDescent="0.2">
      <c r="A58" s="1"/>
      <c r="B58" s="1"/>
      <c r="C58" s="1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1"/>
      <c r="X58" s="1"/>
      <c r="Y58" s="1"/>
      <c r="Z58" s="1"/>
      <c r="AA58" s="1"/>
      <c r="AB58" s="1"/>
    </row>
    <row r="59" spans="1:28" ht="12.75" customHeight="1" x14ac:dyDescent="0.2">
      <c r="A59" s="1"/>
      <c r="B59" s="1"/>
      <c r="C59" s="1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1"/>
      <c r="X59" s="1"/>
      <c r="Y59" s="1"/>
      <c r="Z59" s="1"/>
      <c r="AA59" s="1"/>
      <c r="AB59" s="1"/>
    </row>
    <row r="60" spans="1:28" ht="12.75" customHeight="1" x14ac:dyDescent="0.2">
      <c r="A60" s="1"/>
      <c r="B60" s="1"/>
      <c r="C60" s="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1"/>
      <c r="X60" s="1"/>
      <c r="Y60" s="1"/>
      <c r="Z60" s="1"/>
      <c r="AA60" s="1"/>
      <c r="AB60" s="1"/>
    </row>
    <row r="61" spans="1:28" ht="12.75" customHeight="1" x14ac:dyDescent="0.2">
      <c r="A61" s="1"/>
      <c r="B61" s="1"/>
      <c r="C61" s="1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1"/>
      <c r="X61" s="1"/>
      <c r="Y61" s="1"/>
      <c r="Z61" s="1"/>
      <c r="AA61" s="1"/>
      <c r="AB61" s="1"/>
    </row>
    <row r="62" spans="1:28" ht="12.75" customHeight="1" x14ac:dyDescent="0.2">
      <c r="A62" s="1"/>
      <c r="B62" s="1"/>
      <c r="C62" s="1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1"/>
      <c r="X62" s="1"/>
      <c r="Y62" s="1"/>
      <c r="Z62" s="1"/>
      <c r="AA62" s="1"/>
      <c r="AB62" s="1"/>
    </row>
    <row r="63" spans="1:28" ht="12.75" customHeight="1" x14ac:dyDescent="0.2">
      <c r="A63" s="1"/>
      <c r="B63" s="1"/>
      <c r="C63" s="1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1"/>
      <c r="X63" s="1"/>
      <c r="Y63" s="1"/>
      <c r="Z63" s="1"/>
      <c r="AA63" s="1"/>
      <c r="AB63" s="1"/>
    </row>
    <row r="64" spans="1:28" ht="12.75" customHeight="1" x14ac:dyDescent="0.2">
      <c r="A64" s="1"/>
      <c r="B64" s="1"/>
      <c r="C64" s="1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1"/>
      <c r="X64" s="1"/>
      <c r="Y64" s="1"/>
      <c r="Z64" s="1"/>
      <c r="AA64" s="1"/>
      <c r="AB64" s="1"/>
    </row>
    <row r="65" spans="1:28" ht="12.75" customHeight="1" x14ac:dyDescent="0.2">
      <c r="A65" s="1"/>
      <c r="B65" s="1"/>
      <c r="C65" s="1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1"/>
      <c r="X65" s="1"/>
      <c r="Y65" s="1"/>
      <c r="Z65" s="1"/>
      <c r="AA65" s="1"/>
      <c r="AB65" s="1"/>
    </row>
    <row r="66" spans="1:28" ht="12.75" customHeight="1" x14ac:dyDescent="0.2">
      <c r="A66" s="1"/>
      <c r="B66" s="1"/>
      <c r="C66" s="1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1"/>
      <c r="C67" s="1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1"/>
      <c r="X67" s="1"/>
      <c r="Y67" s="1"/>
      <c r="Z67" s="1"/>
      <c r="AA67" s="1"/>
      <c r="AB67" s="1"/>
    </row>
    <row r="68" spans="1:28" ht="12.75" customHeight="1" x14ac:dyDescent="0.2">
      <c r="A68" s="1"/>
      <c r="B68" s="1"/>
      <c r="C68" s="1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1"/>
      <c r="X68" s="1"/>
      <c r="Y68" s="1"/>
      <c r="Z68" s="1"/>
      <c r="AA68" s="1"/>
      <c r="AB68" s="1"/>
    </row>
    <row r="69" spans="1:28" ht="12.75" customHeight="1" x14ac:dyDescent="0.2">
      <c r="A69" s="1"/>
      <c r="B69" s="1"/>
      <c r="C69" s="1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1"/>
      <c r="X69" s="1"/>
      <c r="Y69" s="1"/>
      <c r="Z69" s="1"/>
      <c r="AA69" s="1"/>
      <c r="AB69" s="1"/>
    </row>
    <row r="70" spans="1:28" ht="12.75" customHeight="1" x14ac:dyDescent="0.2">
      <c r="A70" s="1"/>
      <c r="B70" s="1"/>
      <c r="C70" s="1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1"/>
      <c r="X70" s="1"/>
      <c r="Y70" s="1"/>
      <c r="Z70" s="1"/>
      <c r="AA70" s="1"/>
      <c r="AB70" s="1"/>
    </row>
    <row r="71" spans="1:28" ht="12.75" customHeight="1" x14ac:dyDescent="0.2">
      <c r="A71" s="1"/>
      <c r="B71" s="1"/>
      <c r="C71" s="1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1"/>
      <c r="X71" s="1"/>
      <c r="Y71" s="1"/>
      <c r="Z71" s="1"/>
      <c r="AA71" s="1"/>
      <c r="AB71" s="1"/>
    </row>
    <row r="72" spans="1:28" ht="12.75" customHeight="1" x14ac:dyDescent="0.2">
      <c r="A72" s="1"/>
      <c r="B72" s="1"/>
      <c r="C72" s="1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/>
      <c r="C74" s="1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1"/>
      <c r="X74" s="1"/>
      <c r="Y74" s="1"/>
      <c r="Z74" s="1"/>
      <c r="AA74" s="1"/>
      <c r="AB74" s="1"/>
    </row>
    <row r="75" spans="1:28" ht="12.75" customHeight="1" x14ac:dyDescent="0.2">
      <c r="A75" s="1"/>
      <c r="B75" s="1"/>
      <c r="C75" s="1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1"/>
      <c r="X75" s="1"/>
      <c r="Y75" s="1"/>
      <c r="Z75" s="1"/>
      <c r="AA75" s="1"/>
      <c r="AB75" s="1"/>
    </row>
    <row r="76" spans="1:28" ht="12.75" customHeight="1" x14ac:dyDescent="0.2">
      <c r="A76" s="1"/>
      <c r="B76" s="1"/>
      <c r="C76" s="1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/>
      <c r="C79" s="1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1"/>
      <c r="C80" s="1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1"/>
      <c r="X80" s="1"/>
      <c r="Y80" s="1"/>
      <c r="Z80" s="1"/>
      <c r="AA80" s="1"/>
      <c r="AB80" s="1"/>
    </row>
    <row r="81" spans="1:28" ht="12.75" customHeight="1" x14ac:dyDescent="0.2">
      <c r="A81" s="1"/>
      <c r="B81" s="1"/>
      <c r="C81" s="1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1"/>
      <c r="X937" s="1"/>
      <c r="Y937" s="1"/>
      <c r="Z937" s="1"/>
      <c r="AA937" s="1"/>
      <c r="AB937" s="1"/>
    </row>
  </sheetData>
  <pageMargins left="0.78749999999999998" right="0.78749999999999998" top="1.0249999999999999" bottom="1.0249999999999999" header="0" footer="0"/>
  <pageSetup orientation="portrait" r:id="rId1"/>
  <headerFooter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005"/>
  <sheetViews>
    <sheetView topLeftCell="A224" zoomScale="153" zoomScaleNormal="153" workbookViewId="0">
      <selection activeCell="E222" sqref="E222"/>
    </sheetView>
  </sheetViews>
  <sheetFormatPr baseColWidth="10" defaultColWidth="14.5" defaultRowHeight="15" customHeight="1" x14ac:dyDescent="0.15"/>
  <cols>
    <col min="1" max="1" width="13.83203125" customWidth="1"/>
    <col min="2" max="2" width="44.5" customWidth="1"/>
    <col min="3" max="3" width="24.1640625" bestFit="1" customWidth="1"/>
    <col min="4" max="4" width="24.1640625" customWidth="1"/>
    <col min="5" max="5" width="19.6640625" customWidth="1"/>
    <col min="6" max="6" width="22.1640625" bestFit="1" customWidth="1"/>
    <col min="7" max="7" width="34.1640625" bestFit="1" customWidth="1"/>
    <col min="8" max="8" width="26.33203125" customWidth="1"/>
    <col min="9" max="9" width="14.1640625" customWidth="1"/>
    <col min="10" max="10" width="10.6640625" bestFit="1" customWidth="1"/>
    <col min="11" max="11" width="8.83203125" customWidth="1"/>
    <col min="12" max="12" width="22.6640625" customWidth="1"/>
    <col min="13" max="13" width="11.5" customWidth="1"/>
    <col min="14" max="14" width="19.83203125" customWidth="1"/>
    <col min="15" max="16" width="8.83203125" customWidth="1"/>
    <col min="17" max="17" width="16.33203125" customWidth="1"/>
    <col min="18" max="19" width="8.83203125" customWidth="1"/>
    <col min="20" max="20" width="17.1640625" customWidth="1"/>
    <col min="21" max="27" width="8.83203125" customWidth="1"/>
  </cols>
  <sheetData>
    <row r="1" spans="1:27" ht="12.75" customHeight="1" x14ac:dyDescent="0.2">
      <c r="A1" s="88"/>
      <c r="B1" s="88"/>
      <c r="C1" s="88"/>
      <c r="D1" s="88"/>
      <c r="E1" s="88"/>
      <c r="F1" s="8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88"/>
      <c r="B2" s="88"/>
      <c r="C2" s="88"/>
      <c r="D2" s="88"/>
      <c r="E2" s="88"/>
      <c r="F2" s="88">
        <f>C8+2432</f>
        <v>112613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88"/>
      <c r="B3" s="88"/>
      <c r="C3" s="88"/>
      <c r="D3" s="88"/>
      <c r="E3" s="88"/>
      <c r="F3" s="8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"/>
      <c r="B4" s="1037" t="s">
        <v>424</v>
      </c>
      <c r="C4" s="1038"/>
      <c r="D4" s="1038"/>
      <c r="E4" s="1038"/>
      <c r="F4" s="1038"/>
      <c r="G4" s="1039"/>
      <c r="H4" s="8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" t="s">
        <v>425</v>
      </c>
      <c r="B5" s="14" t="s">
        <v>377</v>
      </c>
      <c r="C5" s="89">
        <v>312984.89</v>
      </c>
      <c r="D5" s="89"/>
      <c r="E5" s="89"/>
      <c r="F5" s="88"/>
      <c r="G5" s="88"/>
      <c r="H5" s="8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"/>
      <c r="B6" s="14"/>
      <c r="C6" s="89"/>
      <c r="D6" s="89"/>
      <c r="E6" s="89"/>
      <c r="F6" s="89" t="s">
        <v>426</v>
      </c>
      <c r="G6" s="89" t="s">
        <v>427</v>
      </c>
      <c r="H6" s="90" t="s">
        <v>428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hidden="1" customHeight="1" x14ac:dyDescent="0.2">
      <c r="A7" s="1"/>
      <c r="B7" s="91" t="s">
        <v>429</v>
      </c>
      <c r="C7" s="92">
        <v>122212.49</v>
      </c>
      <c r="D7" s="185"/>
      <c r="E7" s="92">
        <f>'Dettaglio contributi c-capitale'!E23+'Dettaglio contributi c-capitale'!F23+'Dettaglio contributi c-capitale'!G23</f>
        <v>197588.69999999998</v>
      </c>
      <c r="F7" s="92">
        <f>-'Dettaglio contributi c-capitale'!H23</f>
        <v>-65862.899999999994</v>
      </c>
      <c r="G7" s="93">
        <f>+C7+F7</f>
        <v>56349.590000000011</v>
      </c>
      <c r="H7" s="94">
        <v>56349.59</v>
      </c>
      <c r="I7" s="88">
        <v>65862.899999999994</v>
      </c>
      <c r="J7" s="88">
        <f>+H7-I7</f>
        <v>-9513.3099999999977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hidden="1" customHeight="1" x14ac:dyDescent="0.2">
      <c r="A8" s="1"/>
      <c r="B8" s="91" t="s">
        <v>430</v>
      </c>
      <c r="C8" s="92">
        <v>110181</v>
      </c>
      <c r="D8" s="185"/>
      <c r="E8" s="92">
        <f>'Dettaglio contributi c-capitale'!E15+'Dettaglio contributi c-capitale'!F15+'Dettaglio contributi c-capitale'!G15+'Dettaglio contributi c-capitale'!H15</f>
        <v>150413.08000000002</v>
      </c>
      <c r="F8" s="92">
        <f>-'Dettaglio contributi c-capitale'!I15</f>
        <v>-49328.800000000003</v>
      </c>
      <c r="G8" s="93">
        <f>+C8+F8</f>
        <v>60852.2</v>
      </c>
      <c r="H8" s="94">
        <f>47499.53+'Dettaglio contributi c-capitale'!J16</f>
        <v>47499.53</v>
      </c>
      <c r="I8" s="88">
        <v>47499.49</v>
      </c>
      <c r="J8" s="88">
        <f>+H8-I8</f>
        <v>4.0000000000873115E-2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hidden="1" customHeight="1" x14ac:dyDescent="0.2">
      <c r="A9" s="1"/>
      <c r="B9" s="91" t="s">
        <v>42</v>
      </c>
      <c r="C9" s="92"/>
      <c r="D9" s="185"/>
      <c r="E9" s="92"/>
      <c r="F9" s="92">
        <v>-4561.82</v>
      </c>
      <c r="G9" s="93">
        <v>0</v>
      </c>
      <c r="H9" s="94"/>
      <c r="I9" s="8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hidden="1" customHeight="1" x14ac:dyDescent="0.2">
      <c r="A10" s="1"/>
      <c r="B10" s="95" t="s">
        <v>431</v>
      </c>
      <c r="C10" s="96">
        <f>'Dettaglio contributi c-capitale'!C61-'Dettaglio contributi c-capitale'!E61</f>
        <v>10529.82</v>
      </c>
      <c r="D10" s="186"/>
      <c r="E10" s="96">
        <f>'Dettaglio contributi c-capitale'!E61</f>
        <v>1169.98</v>
      </c>
      <c r="F10" s="96">
        <v>-2339.96</v>
      </c>
      <c r="G10" s="97">
        <f t="shared" ref="G10:G15" si="0">+C10+F10</f>
        <v>8189.86</v>
      </c>
      <c r="H10" s="94">
        <f>+'Dettaglio contributi c-capitale'!G63</f>
        <v>2339.96</v>
      </c>
      <c r="I10" s="8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hidden="1" customHeight="1" x14ac:dyDescent="0.2">
      <c r="A11" s="1"/>
      <c r="B11" s="95" t="s">
        <v>432</v>
      </c>
      <c r="C11" s="96">
        <f>'Dettaglio contributi c-capitale'!C70-'Dettaglio contributi c-capitale'!E70</f>
        <v>15744.6</v>
      </c>
      <c r="D11" s="186"/>
      <c r="E11" s="96">
        <f>'Dettaglio contributi c-capitale'!E70</f>
        <v>1749.4</v>
      </c>
      <c r="F11" s="96">
        <v>-3498.8</v>
      </c>
      <c r="G11" s="97">
        <f t="shared" si="0"/>
        <v>12245.8</v>
      </c>
      <c r="H11" s="94">
        <f>+'Dettaglio contributi c-capitale'!G72</f>
        <v>3498.8</v>
      </c>
      <c r="I11" s="8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hidden="1" customHeight="1" x14ac:dyDescent="0.2">
      <c r="A12" s="1"/>
      <c r="B12" s="1" t="s">
        <v>433</v>
      </c>
      <c r="C12" s="88">
        <f>'Dettaglio contributi c-capitale'!C88-'Dettaglio contributi c-capitale'!E88</f>
        <v>3909.6</v>
      </c>
      <c r="D12" s="88"/>
      <c r="E12" s="88">
        <f>'Dettaglio contributi c-capitale'!E88</f>
        <v>434.40000000000003</v>
      </c>
      <c r="F12" s="88">
        <v>-868.8</v>
      </c>
      <c r="G12" s="89">
        <f t="shared" si="0"/>
        <v>3040.8</v>
      </c>
      <c r="H12" s="94">
        <f>+'Dettaglio contributi c-capitale'!G90</f>
        <v>4023.6000000000004</v>
      </c>
      <c r="I12" s="8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hidden="1" customHeight="1" x14ac:dyDescent="0.2">
      <c r="A13" s="1"/>
      <c r="B13" s="95" t="s">
        <v>434</v>
      </c>
      <c r="C13" s="96">
        <f>'Dettaglio contributi c-capitale'!C79-'Dettaglio contributi c-capitale'!E79</f>
        <v>4738.9680000000008</v>
      </c>
      <c r="D13" s="186"/>
      <c r="E13" s="96">
        <f>'Dettaglio contributi c-capitale'!E79</f>
        <v>526.55200000000002</v>
      </c>
      <c r="F13" s="96">
        <v>-1053.0999999999999</v>
      </c>
      <c r="G13" s="97">
        <f t="shared" si="0"/>
        <v>3685.8680000000008</v>
      </c>
      <c r="H13" s="94">
        <f>+'Dettaglio contributi c-capitale'!G81</f>
        <v>1053.104</v>
      </c>
      <c r="I13" s="8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hidden="1" customHeight="1" x14ac:dyDescent="0.2">
      <c r="A14" s="1"/>
      <c r="B14" s="95" t="s">
        <v>435</v>
      </c>
      <c r="C14" s="96">
        <f>'Dettaglio contributi c-capitale'!C103-'Dettaglio contributi c-capitale'!E110</f>
        <v>31706.824000000001</v>
      </c>
      <c r="D14" s="186"/>
      <c r="E14" s="96">
        <f>'Dettaglio contributi c-capitale'!E110</f>
        <v>5129.2459999999992</v>
      </c>
      <c r="F14" s="96">
        <v>-7367.21</v>
      </c>
      <c r="G14" s="97">
        <f t="shared" si="0"/>
        <v>24339.614000000001</v>
      </c>
      <c r="H14" s="94">
        <f>+'Dettaglio contributi c-capitale'!G110</f>
        <v>7367.213999999999</v>
      </c>
      <c r="I14" s="8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hidden="1" customHeight="1" x14ac:dyDescent="0.2">
      <c r="A15" s="1"/>
      <c r="B15" s="95" t="s">
        <v>436</v>
      </c>
      <c r="C15" s="96">
        <f>'Dettaglio contributi c-capitale'!C97-'Dettaglio contributi c-capitale'!E97</f>
        <v>9398.880000000001</v>
      </c>
      <c r="D15" s="186"/>
      <c r="E15" s="96">
        <f>'Dettaglio contributi c-capitale'!E99</f>
        <v>1044.3200000000002</v>
      </c>
      <c r="F15" s="96">
        <v>-2088.64</v>
      </c>
      <c r="G15" s="97">
        <f t="shared" si="0"/>
        <v>7310.2400000000016</v>
      </c>
      <c r="H15" s="94">
        <f>+'Dettaglio contributi c-capitale'!G99</f>
        <v>2088.6400000000003</v>
      </c>
      <c r="I15" s="8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hidden="1" customHeight="1" x14ac:dyDescent="0.2">
      <c r="A16" s="88"/>
      <c r="B16" s="96" t="s">
        <v>437</v>
      </c>
      <c r="C16" s="98"/>
      <c r="D16" s="187"/>
      <c r="E16" s="96">
        <f>'Dettaglio contributi c-capitale'!E153</f>
        <v>2000</v>
      </c>
      <c r="F16" s="96">
        <f>'Dettaglio contributi c-capitale'!C153-'Dettaglio contributi c-capitale'!E153</f>
        <v>18000</v>
      </c>
      <c r="G16" s="97">
        <f t="shared" ref="G16:G24" si="1">C16+F16</f>
        <v>18000</v>
      </c>
      <c r="H16" s="94">
        <f>+'Dettaglio contributi c-capitale'!F155</f>
        <v>4000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ht="12.75" hidden="1" customHeight="1" x14ac:dyDescent="0.2">
      <c r="A17" s="88"/>
      <c r="B17" s="96" t="s">
        <v>438</v>
      </c>
      <c r="C17" s="98"/>
      <c r="D17" s="187"/>
      <c r="E17" s="96">
        <f>'Dettaglio contributi c-capitale'!E146</f>
        <v>9495.7759999999998</v>
      </c>
      <c r="F17" s="96">
        <v>51998.29</v>
      </c>
      <c r="G17" s="97">
        <f t="shared" si="1"/>
        <v>51998.29</v>
      </c>
      <c r="H17" s="94">
        <f>+'Dettaglio contributi c-capitale'!F146</f>
        <v>12767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ht="12.75" hidden="1" customHeight="1" x14ac:dyDescent="0.2">
      <c r="A18" s="88"/>
      <c r="B18" s="96" t="s">
        <v>439</v>
      </c>
      <c r="C18" s="98"/>
      <c r="D18" s="187"/>
      <c r="E18" s="96">
        <f>'Dettaglio contributi c-capitale'!E137</f>
        <v>3666.1000000000004</v>
      </c>
      <c r="F18" s="96">
        <f>'Dettaglio contributi c-capitale'!C135-'Dettaglio contributi c-capitale'!E135</f>
        <v>32994.9</v>
      </c>
      <c r="G18" s="97">
        <f t="shared" si="1"/>
        <v>32994.9</v>
      </c>
      <c r="H18" s="94">
        <f>+'Dettaglio contributi c-capitale'!F137</f>
        <v>7332.2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ht="12.75" hidden="1" customHeight="1" x14ac:dyDescent="0.2">
      <c r="A19" s="88"/>
      <c r="B19" s="96" t="s">
        <v>440</v>
      </c>
      <c r="C19" s="98"/>
      <c r="D19" s="187"/>
      <c r="E19" s="96">
        <f>'Dettaglio contributi c-capitale'!E128</f>
        <v>6499.1</v>
      </c>
      <c r="F19" s="96">
        <f>'Dettaglio contributi c-capitale'!C126-'Dettaglio contributi c-capitale'!E126</f>
        <v>58491.9</v>
      </c>
      <c r="G19" s="97">
        <f t="shared" si="1"/>
        <v>58491.9</v>
      </c>
      <c r="H19" s="94">
        <f>+'Dettaglio contributi c-capitale'!F128</f>
        <v>12998.2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ht="12.75" hidden="1" customHeight="1" x14ac:dyDescent="0.2">
      <c r="A20" s="88"/>
      <c r="B20" s="96" t="s">
        <v>441</v>
      </c>
      <c r="C20" s="96"/>
      <c r="D20" s="186"/>
      <c r="E20" s="96">
        <f>'Dettaglio contributi c-capitale'!E119</f>
        <v>3321.8</v>
      </c>
      <c r="F20" s="96">
        <f>'Dettaglio contributi c-capitale'!C117-'Dettaglio contributi c-capitale'!E117</f>
        <v>29896.2</v>
      </c>
      <c r="G20" s="97">
        <f t="shared" si="1"/>
        <v>29896.2</v>
      </c>
      <c r="H20" s="94">
        <f>+'Dettaglio contributi c-capitale'!F119</f>
        <v>6643.6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12.75" hidden="1" customHeight="1" x14ac:dyDescent="0.2">
      <c r="A21" s="88"/>
      <c r="B21" s="88" t="s">
        <v>433</v>
      </c>
      <c r="C21" s="88"/>
      <c r="D21" s="88"/>
      <c r="E21" s="88">
        <f>'Dettaglio contributi c-capitale'!F89</f>
        <v>1577.4</v>
      </c>
      <c r="F21" s="88">
        <f>'Dettaglio contributi c-capitale'!C89-'Dettaglio contributi c-capitale'!F89</f>
        <v>14196.6</v>
      </c>
      <c r="G21" s="89">
        <f t="shared" si="1"/>
        <v>14196.6</v>
      </c>
      <c r="H21" s="100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ht="12.75" hidden="1" customHeight="1" x14ac:dyDescent="0.2">
      <c r="A22" s="88"/>
      <c r="B22" s="1" t="s">
        <v>443</v>
      </c>
      <c r="C22" s="88"/>
      <c r="D22" s="88"/>
      <c r="E22" s="88">
        <f>'Dettaglio contributi c-capitale'!E54</f>
        <v>18848.8</v>
      </c>
      <c r="F22" s="88">
        <f>'Dettaglio contributi c-capitale'!C50-'Dettaglio contributi c-capitale'!E50</f>
        <v>169639.2</v>
      </c>
      <c r="G22" s="89">
        <f t="shared" si="1"/>
        <v>169639.2</v>
      </c>
      <c r="H22" s="94">
        <f>+'Dettaglio contributi c-capitale'!F54</f>
        <v>37697.599999999999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12.75" hidden="1" customHeight="1" x14ac:dyDescent="0.2">
      <c r="A23" s="88"/>
      <c r="B23" s="1" t="s">
        <v>445</v>
      </c>
      <c r="C23" s="88"/>
      <c r="D23" s="88"/>
      <c r="E23" s="88">
        <f>'Dettaglio contributi c-capitale'!E44</f>
        <v>3065.8599999999997</v>
      </c>
      <c r="F23" s="88">
        <f>'Dettaglio contributi c-capitale'!C41-'Dettaglio contributi c-capitale'!E41</f>
        <v>12263.439999999999</v>
      </c>
      <c r="G23" s="89">
        <f t="shared" si="1"/>
        <v>12263.439999999999</v>
      </c>
      <c r="H23" s="94">
        <f>+'Dettaglio contributi c-capitale'!F44</f>
        <v>13652.349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ht="12.75" hidden="1" customHeight="1" x14ac:dyDescent="0.2">
      <c r="A24" s="88"/>
      <c r="B24" s="61" t="s">
        <v>446</v>
      </c>
      <c r="C24" s="106"/>
      <c r="D24" s="188"/>
      <c r="E24" s="106">
        <f>'Dettaglio contributi c-capitale'!F34</f>
        <v>12360.8</v>
      </c>
      <c r="F24" s="106">
        <f>'Dettaglio contributi c-capitale'!C32-'Dettaglio contributi c-capitale'!F32</f>
        <v>111247.2</v>
      </c>
      <c r="G24" s="108">
        <f t="shared" si="1"/>
        <v>111247.2</v>
      </c>
      <c r="H24" s="94">
        <f>+'Dettaglio contributi c-capitale'!G34</f>
        <v>28350.519999999997</v>
      </c>
      <c r="I24" s="88"/>
      <c r="J24" s="88"/>
      <c r="K24" s="88"/>
      <c r="L24" s="109"/>
      <c r="M24" s="88"/>
      <c r="N24" s="110"/>
      <c r="O24" s="88"/>
      <c r="P24" s="88"/>
      <c r="Q24" s="110"/>
      <c r="R24" s="88"/>
      <c r="S24" s="88"/>
      <c r="T24" s="111"/>
      <c r="U24" s="88"/>
      <c r="V24" s="88"/>
      <c r="W24" s="88"/>
      <c r="X24" s="88"/>
      <c r="Y24" s="88"/>
      <c r="Z24" s="88"/>
      <c r="AA24" s="88"/>
    </row>
    <row r="25" spans="1:27" ht="12.75" customHeight="1" x14ac:dyDescent="0.2">
      <c r="A25" s="88"/>
      <c r="B25" s="112" t="s">
        <v>375</v>
      </c>
      <c r="C25" s="114"/>
      <c r="D25" s="189"/>
      <c r="E25" s="114"/>
      <c r="F25" s="115"/>
      <c r="G25" s="117">
        <f>SUM(G7:G24)</f>
        <v>674741.70199999993</v>
      </c>
      <c r="H25" s="118"/>
      <c r="I25" s="88"/>
      <c r="J25" s="88"/>
      <c r="K25" s="88"/>
      <c r="L25" s="109"/>
      <c r="M25" s="88"/>
      <c r="N25" s="110"/>
      <c r="O25" s="88"/>
      <c r="P25" s="88"/>
      <c r="Q25" s="110"/>
      <c r="R25" s="88"/>
      <c r="S25" s="88"/>
      <c r="T25" s="111"/>
      <c r="U25" s="88"/>
      <c r="V25" s="88"/>
      <c r="W25" s="88"/>
      <c r="X25" s="88"/>
      <c r="Y25" s="88"/>
      <c r="Z25" s="88"/>
      <c r="AA25" s="88"/>
    </row>
    <row r="26" spans="1:27" ht="12.75" customHeight="1" x14ac:dyDescent="0.2">
      <c r="A26" s="88"/>
      <c r="B26" s="1"/>
      <c r="C26" s="88"/>
      <c r="D26" s="88"/>
      <c r="E26" s="88"/>
      <c r="F26" s="88"/>
      <c r="G26" s="88"/>
      <c r="H26" s="88"/>
      <c r="I26" s="88"/>
      <c r="J26" s="88"/>
      <c r="K26" s="88"/>
      <c r="L26" s="109"/>
      <c r="M26" s="88"/>
      <c r="N26" s="109"/>
      <c r="O26" s="88"/>
      <c r="P26" s="88"/>
      <c r="Q26" s="110"/>
      <c r="R26" s="88"/>
      <c r="S26" s="88"/>
      <c r="T26" s="111"/>
      <c r="U26" s="88"/>
      <c r="V26" s="88"/>
      <c r="W26" s="88"/>
      <c r="X26" s="88"/>
      <c r="Y26" s="88"/>
      <c r="Z26" s="88"/>
      <c r="AA26" s="88"/>
    </row>
    <row r="27" spans="1:27" ht="12.75" customHeight="1" x14ac:dyDescent="0.2">
      <c r="A27" s="1"/>
      <c r="B27" s="1"/>
      <c r="C27" s="1"/>
      <c r="D27" s="1"/>
      <c r="E27" s="1"/>
      <c r="F27" s="14" t="s">
        <v>452</v>
      </c>
      <c r="G27" s="89" t="s">
        <v>453</v>
      </c>
      <c r="H27" s="1"/>
      <c r="I27" s="1"/>
      <c r="J27" s="1"/>
      <c r="K27" s="1"/>
      <c r="L27" s="109"/>
      <c r="M27" s="1"/>
      <c r="N27" s="109"/>
      <c r="O27" s="1"/>
      <c r="P27" s="1"/>
      <c r="Q27" s="110"/>
      <c r="R27" s="1"/>
      <c r="S27" s="1"/>
      <c r="T27" s="11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91" t="s">
        <v>429</v>
      </c>
      <c r="C28" s="91"/>
      <c r="D28" s="190"/>
      <c r="E28" s="119">
        <v>56349.590000000011</v>
      </c>
      <c r="F28" s="119">
        <v>-56349.59</v>
      </c>
      <c r="G28" s="119">
        <f>E28+F28</f>
        <v>0</v>
      </c>
      <c r="H28" s="2"/>
      <c r="I28" s="2"/>
      <c r="J28" s="2"/>
      <c r="K28" s="1"/>
      <c r="L28" s="109"/>
      <c r="M28" s="1"/>
      <c r="N28" s="110"/>
      <c r="O28" s="1"/>
      <c r="P28" s="1"/>
      <c r="Q28" s="110"/>
      <c r="R28" s="1"/>
      <c r="S28" s="1"/>
      <c r="T28" s="11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/>
      <c r="B29" s="91" t="s">
        <v>430</v>
      </c>
      <c r="C29" s="91"/>
      <c r="D29" s="190"/>
      <c r="E29" s="119">
        <v>60852.2</v>
      </c>
      <c r="F29" s="119">
        <v>-49852.29</v>
      </c>
      <c r="G29" s="119">
        <f>E29+F29</f>
        <v>10999.909999999996</v>
      </c>
      <c r="H29" s="2" t="s">
        <v>456</v>
      </c>
      <c r="I29" s="2"/>
      <c r="J29" s="2"/>
      <c r="K29" s="1"/>
      <c r="L29" s="109"/>
      <c r="M29" s="1"/>
      <c r="N29" s="109"/>
      <c r="O29" s="1"/>
      <c r="P29" s="1"/>
      <c r="Q29" s="110"/>
      <c r="R29" s="1"/>
      <c r="S29" s="1"/>
      <c r="T29" s="11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/>
      <c r="B30" s="95" t="s">
        <v>431</v>
      </c>
      <c r="C30" s="95"/>
      <c r="D30" s="191"/>
      <c r="E30" s="121">
        <v>8189.86</v>
      </c>
      <c r="F30" s="121">
        <v>-2339.96</v>
      </c>
      <c r="G30" s="121">
        <f t="shared" ref="G30:G40" si="2">+E30+F30</f>
        <v>5849.9</v>
      </c>
      <c r="H30" s="2" t="s">
        <v>457</v>
      </c>
      <c r="I30" s="2"/>
      <c r="J30" s="2"/>
      <c r="K30" s="1"/>
      <c r="L30" s="109"/>
      <c r="M30" s="1"/>
      <c r="N30" s="109"/>
      <c r="O30" s="1"/>
      <c r="P30" s="1"/>
      <c r="Q30" s="110"/>
      <c r="R30" s="1"/>
      <c r="S30" s="1"/>
      <c r="T30" s="11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/>
      <c r="B31" s="95" t="s">
        <v>432</v>
      </c>
      <c r="C31" s="95"/>
      <c r="D31" s="191"/>
      <c r="E31" s="121">
        <v>12245.8</v>
      </c>
      <c r="F31" s="121">
        <v>-3498.8</v>
      </c>
      <c r="G31" s="121">
        <f t="shared" si="2"/>
        <v>8747</v>
      </c>
      <c r="H31" s="2" t="s">
        <v>457</v>
      </c>
      <c r="I31" s="2"/>
      <c r="J31" s="2"/>
      <c r="K31" s="1"/>
      <c r="L31" s="25"/>
      <c r="M31" s="1"/>
      <c r="N31" s="110"/>
      <c r="O31" s="1"/>
      <c r="P31" s="1"/>
      <c r="Q31" s="110"/>
      <c r="R31" s="1"/>
      <c r="S31" s="1"/>
      <c r="T31" s="109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/>
      <c r="B32" s="59" t="s">
        <v>433</v>
      </c>
      <c r="C32" s="59"/>
      <c r="D32" s="192"/>
      <c r="E32" s="63">
        <f>3040.8+14196.6</f>
        <v>17237.400000000001</v>
      </c>
      <c r="F32" s="63">
        <v>-4023.6</v>
      </c>
      <c r="G32" s="63">
        <f t="shared" si="2"/>
        <v>13213.800000000001</v>
      </c>
      <c r="H32" s="2" t="s">
        <v>457</v>
      </c>
      <c r="I32" s="2"/>
      <c r="J32" s="2"/>
      <c r="K32" s="1"/>
      <c r="L32" s="1"/>
      <c r="M32" s="1"/>
      <c r="N32" s="110"/>
      <c r="O32" s="1"/>
      <c r="P32" s="1"/>
      <c r="Q32" s="110"/>
      <c r="R32" s="1"/>
      <c r="S32" s="1"/>
      <c r="T32" s="109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95" t="s">
        <v>434</v>
      </c>
      <c r="C33" s="95"/>
      <c r="D33" s="191"/>
      <c r="E33" s="121">
        <v>3685.8680000000008</v>
      </c>
      <c r="F33" s="121">
        <v>-1053.104</v>
      </c>
      <c r="G33" s="121">
        <f t="shared" si="2"/>
        <v>2632.764000000001</v>
      </c>
      <c r="H33" s="2" t="s">
        <v>457</v>
      </c>
      <c r="I33" s="2"/>
      <c r="J33" s="2"/>
      <c r="K33" s="1"/>
      <c r="L33" s="1"/>
      <c r="M33" s="1"/>
      <c r="N33" s="110"/>
      <c r="O33" s="1"/>
      <c r="P33" s="1"/>
      <c r="Q33" s="110"/>
      <c r="R33" s="1"/>
      <c r="S33" s="1"/>
      <c r="T33" s="109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88"/>
      <c r="B34" s="95" t="s">
        <v>435</v>
      </c>
      <c r="C34" s="96"/>
      <c r="D34" s="186"/>
      <c r="E34" s="121">
        <v>24339.614000000001</v>
      </c>
      <c r="F34" s="121">
        <v>-7367.2139999999999</v>
      </c>
      <c r="G34" s="121">
        <f t="shared" si="2"/>
        <v>16972.400000000001</v>
      </c>
      <c r="H34" s="2" t="s">
        <v>457</v>
      </c>
      <c r="I34" s="2"/>
      <c r="J34" s="2"/>
      <c r="K34" s="1"/>
      <c r="L34" s="1"/>
      <c r="M34" s="1"/>
      <c r="N34" s="110"/>
      <c r="O34" s="1"/>
      <c r="P34" s="1"/>
      <c r="Q34" s="110"/>
      <c r="R34" s="1"/>
      <c r="S34" s="1"/>
      <c r="T34" s="109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88"/>
      <c r="B35" s="95" t="s">
        <v>436</v>
      </c>
      <c r="C35" s="96"/>
      <c r="D35" s="186"/>
      <c r="E35" s="121">
        <v>7310.2400000000016</v>
      </c>
      <c r="F35" s="121">
        <v>-2088.64</v>
      </c>
      <c r="G35" s="121">
        <f t="shared" si="2"/>
        <v>5221.6000000000022</v>
      </c>
      <c r="H35" s="2" t="s">
        <v>457</v>
      </c>
      <c r="I35" s="2"/>
      <c r="J35" s="2"/>
      <c r="K35" s="1"/>
      <c r="L35" s="1"/>
      <c r="M35" s="1"/>
      <c r="N35" s="110"/>
      <c r="O35" s="1"/>
      <c r="P35" s="1"/>
      <c r="Q35" s="110"/>
      <c r="R35" s="1"/>
      <c r="S35" s="1"/>
      <c r="T35" s="109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88"/>
      <c r="B36" s="96" t="s">
        <v>437</v>
      </c>
      <c r="C36" s="96"/>
      <c r="D36" s="186"/>
      <c r="E36" s="121">
        <v>18000</v>
      </c>
      <c r="F36" s="121">
        <v>-4000</v>
      </c>
      <c r="G36" s="121">
        <f t="shared" si="2"/>
        <v>14000</v>
      </c>
      <c r="H36" s="2" t="s">
        <v>457</v>
      </c>
      <c r="I36" s="2"/>
      <c r="J36" s="2"/>
      <c r="K36" s="1"/>
      <c r="L36" s="1"/>
      <c r="M36" s="1"/>
      <c r="N36" s="110"/>
      <c r="O36" s="1"/>
      <c r="P36" s="1"/>
      <c r="Q36" s="110"/>
      <c r="R36" s="1"/>
      <c r="S36" s="1"/>
      <c r="T36" s="109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88"/>
      <c r="B37" s="96" t="s">
        <v>438</v>
      </c>
      <c r="C37" s="96"/>
      <c r="D37" s="186"/>
      <c r="E37" s="121">
        <v>54340.604000000007</v>
      </c>
      <c r="F37" s="121">
        <v>-12767</v>
      </c>
      <c r="G37" s="121">
        <f t="shared" si="2"/>
        <v>41573.604000000007</v>
      </c>
      <c r="H37" s="2" t="s">
        <v>459</v>
      </c>
      <c r="I37" s="2"/>
      <c r="J37" s="2"/>
      <c r="K37" s="1"/>
      <c r="L37" s="1"/>
      <c r="M37" s="1"/>
      <c r="N37" s="110"/>
      <c r="O37" s="1"/>
      <c r="P37" s="1"/>
      <c r="Q37" s="110"/>
      <c r="R37" s="1"/>
      <c r="S37" s="1"/>
      <c r="T37" s="109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88"/>
      <c r="B38" s="96" t="s">
        <v>439</v>
      </c>
      <c r="C38" s="96"/>
      <c r="D38" s="186"/>
      <c r="E38" s="121">
        <v>32994.9</v>
      </c>
      <c r="F38" s="121">
        <v>-7332.2</v>
      </c>
      <c r="G38" s="121">
        <f t="shared" si="2"/>
        <v>25662.7</v>
      </c>
      <c r="H38" s="2" t="s">
        <v>457</v>
      </c>
      <c r="I38" s="2"/>
      <c r="J38" s="2"/>
      <c r="K38" s="1"/>
      <c r="L38" s="1"/>
      <c r="M38" s="1"/>
      <c r="N38" s="110"/>
      <c r="O38" s="1"/>
      <c r="P38" s="1"/>
      <c r="Q38" s="110"/>
      <c r="R38" s="1"/>
      <c r="S38" s="1"/>
      <c r="T38" s="109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88"/>
      <c r="B39" s="96" t="s">
        <v>440</v>
      </c>
      <c r="C39" s="96"/>
      <c r="D39" s="186"/>
      <c r="E39" s="121">
        <v>58491.9</v>
      </c>
      <c r="F39" s="121">
        <v>-12998.2</v>
      </c>
      <c r="G39" s="121">
        <f t="shared" si="2"/>
        <v>45493.7</v>
      </c>
      <c r="H39" s="2" t="s">
        <v>457</v>
      </c>
      <c r="I39" s="2"/>
      <c r="J39" s="2"/>
      <c r="K39" s="1"/>
      <c r="L39" s="1"/>
      <c r="M39" s="1"/>
      <c r="N39" s="110"/>
      <c r="O39" s="1"/>
      <c r="P39" s="1"/>
      <c r="Q39" s="110"/>
      <c r="R39" s="1"/>
      <c r="S39" s="1"/>
      <c r="T39" s="109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88"/>
      <c r="B40" s="96" t="s">
        <v>441</v>
      </c>
      <c r="C40" s="96"/>
      <c r="D40" s="186"/>
      <c r="E40" s="121">
        <v>29896.2</v>
      </c>
      <c r="F40" s="121">
        <v>-6643.6</v>
      </c>
      <c r="G40" s="121">
        <f t="shared" si="2"/>
        <v>23252.6</v>
      </c>
      <c r="H40" s="2" t="s">
        <v>457</v>
      </c>
      <c r="I40" s="2"/>
      <c r="J40" s="2"/>
      <c r="K40" s="1"/>
      <c r="L40" s="1"/>
      <c r="M40" s="1"/>
      <c r="N40" s="25"/>
      <c r="O40" s="1"/>
      <c r="P40" s="1"/>
      <c r="Q40" s="25"/>
      <c r="R40" s="1"/>
      <c r="S40" s="1"/>
      <c r="T40" s="25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88"/>
      <c r="B41" s="88"/>
      <c r="C41" s="88"/>
      <c r="D41" s="88"/>
      <c r="E41" s="2"/>
      <c r="F41" s="2"/>
      <c r="G41" s="2"/>
      <c r="H41" s="2"/>
      <c r="I41" s="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88"/>
      <c r="B42" s="91" t="s">
        <v>443</v>
      </c>
      <c r="C42" s="92"/>
      <c r="D42" s="185"/>
      <c r="E42" s="119">
        <v>169639.2</v>
      </c>
      <c r="F42" s="119">
        <v>-37697.51</v>
      </c>
      <c r="G42" s="119">
        <f>+E42+F42</f>
        <v>131941.69</v>
      </c>
      <c r="H42" s="2" t="s">
        <v>457</v>
      </c>
      <c r="I42" s="2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88"/>
      <c r="B43" s="91" t="s">
        <v>445</v>
      </c>
      <c r="C43" s="92"/>
      <c r="D43" s="185"/>
      <c r="E43" s="119">
        <v>12263.439999999999</v>
      </c>
      <c r="F43" s="119">
        <f>-3065.86+40233.83</f>
        <v>37167.97</v>
      </c>
      <c r="G43" s="119">
        <f>E43+F43</f>
        <v>49431.41</v>
      </c>
      <c r="H43" s="2" t="s">
        <v>457</v>
      </c>
      <c r="I43" s="2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88"/>
      <c r="B44" s="91" t="s">
        <v>446</v>
      </c>
      <c r="C44" s="92"/>
      <c r="D44" s="185"/>
      <c r="E44" s="119">
        <v>111247.2</v>
      </c>
      <c r="F44" s="119">
        <f>-24721.59+31616.88</f>
        <v>6895.2900000000009</v>
      </c>
      <c r="G44" s="119">
        <f>+E44+F44</f>
        <v>118142.48999999999</v>
      </c>
      <c r="H44" s="127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88"/>
      <c r="B45" s="88"/>
      <c r="C45" s="88"/>
      <c r="D45" s="88"/>
      <c r="E45" s="88"/>
      <c r="F45" s="8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88"/>
      <c r="B46" s="125" t="s">
        <v>462</v>
      </c>
      <c r="C46" s="125"/>
      <c r="D46" s="125"/>
      <c r="E46" s="125"/>
      <c r="F46" s="125">
        <v>34667.06</v>
      </c>
      <c r="G46" s="1" t="s">
        <v>457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88"/>
      <c r="B47" s="125" t="s">
        <v>37</v>
      </c>
      <c r="C47" s="125"/>
      <c r="D47" s="125"/>
      <c r="E47" s="125"/>
      <c r="F47" s="125">
        <v>53962.12</v>
      </c>
      <c r="G47" s="1" t="s">
        <v>457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88"/>
      <c r="B48" s="125" t="s">
        <v>36</v>
      </c>
      <c r="C48" s="125"/>
      <c r="D48" s="125"/>
      <c r="E48" s="125"/>
      <c r="F48" s="125">
        <v>13176</v>
      </c>
      <c r="G48" s="1" t="s">
        <v>457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88"/>
      <c r="B49" s="125" t="s">
        <v>464</v>
      </c>
      <c r="C49" s="125"/>
      <c r="D49" s="125"/>
      <c r="E49" s="125"/>
      <c r="F49" s="125">
        <v>20200</v>
      </c>
      <c r="G49" s="1" t="s">
        <v>457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88"/>
      <c r="B50" s="125" t="s">
        <v>39</v>
      </c>
      <c r="C50" s="125"/>
      <c r="D50" s="125"/>
      <c r="E50" s="125"/>
      <c r="F50" s="125">
        <v>19182.060000000001</v>
      </c>
      <c r="G50" s="1" t="s">
        <v>457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88"/>
      <c r="B51" s="125" t="s">
        <v>295</v>
      </c>
      <c r="C51" s="125"/>
      <c r="D51" s="125"/>
      <c r="E51" s="125"/>
      <c r="F51" s="125">
        <v>10427.040000000001</v>
      </c>
      <c r="G51" s="1" t="s">
        <v>457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88"/>
      <c r="B52" s="125" t="s">
        <v>296</v>
      </c>
      <c r="C52" s="125"/>
      <c r="D52" s="125"/>
      <c r="E52" s="125"/>
      <c r="F52" s="125">
        <v>26981.06</v>
      </c>
      <c r="G52" s="1" t="s">
        <v>457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88"/>
      <c r="B53" s="125" t="s">
        <v>466</v>
      </c>
      <c r="C53" s="125"/>
      <c r="D53" s="125"/>
      <c r="E53" s="125"/>
      <c r="F53" s="125">
        <v>127650.15</v>
      </c>
      <c r="G53" s="1" t="s">
        <v>457</v>
      </c>
      <c r="H53" s="88">
        <f>+F53</f>
        <v>127650.15</v>
      </c>
      <c r="I53" s="5" t="s">
        <v>529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88"/>
      <c r="B54" s="125" t="s">
        <v>467</v>
      </c>
      <c r="C54" s="125"/>
      <c r="D54" s="125"/>
      <c r="E54" s="125"/>
      <c r="F54" s="125">
        <v>11175.99</v>
      </c>
      <c r="G54" s="1" t="s">
        <v>457</v>
      </c>
      <c r="H54" s="88">
        <f>F54+F51+F52+F50+F49+F48+F47+F46+G40+G39+G38+G37+G36+G35+G34+G33+G31+G30</f>
        <v>379177.59800000006</v>
      </c>
      <c r="I54" s="5" t="s">
        <v>528</v>
      </c>
      <c r="J54" s="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88"/>
      <c r="B55" s="129" t="s">
        <v>43</v>
      </c>
      <c r="C55" s="129"/>
      <c r="D55" s="129"/>
      <c r="E55" s="129"/>
      <c r="F55" s="129">
        <v>25082.44</v>
      </c>
      <c r="G55" s="1" t="s">
        <v>457</v>
      </c>
      <c r="H55" s="88">
        <f>F57+F55+G44+G43+G42+G29+G28-2342.31</f>
        <v>807805.63</v>
      </c>
      <c r="I55" s="1" t="s">
        <v>468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88"/>
      <c r="B56" s="130" t="s">
        <v>69</v>
      </c>
      <c r="C56" s="130"/>
      <c r="D56" s="130"/>
      <c r="E56" s="130"/>
      <c r="F56" s="130">
        <v>26981.06</v>
      </c>
      <c r="G56" s="1" t="s">
        <v>457</v>
      </c>
      <c r="H56" s="88">
        <f>F56+G32</f>
        <v>40194.86</v>
      </c>
      <c r="I56" s="1" t="s">
        <v>469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88"/>
      <c r="B57" s="129" t="s">
        <v>297</v>
      </c>
      <c r="C57" s="129"/>
      <c r="D57" s="129"/>
      <c r="E57" s="129"/>
      <c r="F57" s="129">
        <v>474550</v>
      </c>
      <c r="G57" s="1" t="s">
        <v>457</v>
      </c>
      <c r="H57" s="88">
        <f>SUM(H53:H56)</f>
        <v>1354828.2380000001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88"/>
      <c r="B58" s="88"/>
      <c r="C58" s="88"/>
      <c r="D58" s="88"/>
      <c r="E58" s="88"/>
      <c r="F58" s="89">
        <f>SUM(F28:F57)</f>
        <v>680086.53199999989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88"/>
      <c r="B59" s="88"/>
      <c r="C59" s="88"/>
      <c r="D59" s="88"/>
      <c r="E59" s="89" t="s">
        <v>470</v>
      </c>
      <c r="F59" s="89">
        <f>+G25+F58</f>
        <v>1354828.2339999997</v>
      </c>
      <c r="G59" s="88"/>
      <c r="H59" s="88">
        <f>F59-H57</f>
        <v>-4.0000004228204489E-3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88"/>
      <c r="B60" s="88"/>
      <c r="C60" s="88"/>
      <c r="D60" s="88"/>
      <c r="E60" s="88"/>
      <c r="F60" s="88"/>
      <c r="G60" s="8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88"/>
      <c r="B61" s="88"/>
      <c r="C61" s="88"/>
      <c r="D61" s="88"/>
      <c r="E61" s="88" t="s">
        <v>143</v>
      </c>
      <c r="F61" s="88">
        <v>1354827.9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88"/>
      <c r="B62" s="88"/>
      <c r="C62" s="88"/>
      <c r="D62" s="88"/>
      <c r="E62" s="88" t="s">
        <v>471</v>
      </c>
      <c r="F62" s="88">
        <f>F59-F61</f>
        <v>0.33399999979883432</v>
      </c>
      <c r="G62" s="1"/>
      <c r="H62" s="8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88"/>
      <c r="B63" s="88"/>
      <c r="C63" s="88"/>
      <c r="D63" s="88"/>
      <c r="E63" s="88"/>
      <c r="F63" s="8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thickBot="1" x14ac:dyDescent="0.25">
      <c r="A64" s="88"/>
      <c r="B64" s="181"/>
      <c r="C64" s="181"/>
      <c r="D64" s="181"/>
      <c r="E64" s="181"/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88"/>
      <c r="B65" s="88"/>
      <c r="C65" s="88"/>
      <c r="D65" s="88"/>
      <c r="E65" s="88"/>
      <c r="F65" s="8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88"/>
      <c r="B66" s="183" t="s">
        <v>279</v>
      </c>
      <c r="C66" s="183">
        <f>+F61</f>
        <v>1354827.9</v>
      </c>
      <c r="D66" s="183"/>
      <c r="E66" s="88"/>
      <c r="F66" s="8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88"/>
      <c r="B67" s="183" t="s">
        <v>587</v>
      </c>
      <c r="C67" s="88"/>
      <c r="D67" s="88"/>
      <c r="E67" s="88"/>
      <c r="F67" s="8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88"/>
      <c r="B68" s="183" t="s">
        <v>588</v>
      </c>
      <c r="C68" s="183" t="s">
        <v>589</v>
      </c>
      <c r="D68" s="183" t="s">
        <v>591</v>
      </c>
      <c r="E68" s="183" t="s">
        <v>592</v>
      </c>
      <c r="F68" s="183" t="s">
        <v>590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88"/>
      <c r="B69" s="184" t="s">
        <v>140</v>
      </c>
      <c r="C69" s="88">
        <f t="shared" ref="C69:C77" si="3">+G29</f>
        <v>10999.909999999996</v>
      </c>
      <c r="D69" s="88">
        <v>0</v>
      </c>
      <c r="E69" s="88">
        <v>-4064.92</v>
      </c>
      <c r="F69" s="88">
        <f>SUM(C69:E69)</f>
        <v>6934.9899999999961</v>
      </c>
      <c r="G69" s="5" t="s">
        <v>598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88"/>
      <c r="B70" s="193" t="s">
        <v>593</v>
      </c>
      <c r="C70" s="88">
        <f t="shared" si="3"/>
        <v>5849.9</v>
      </c>
      <c r="D70" s="88">
        <v>0</v>
      </c>
      <c r="E70" s="88">
        <v>-2339.96</v>
      </c>
      <c r="F70" s="88">
        <f t="shared" ref="F70:F101" si="4">SUM(C70:E70)</f>
        <v>3509.9399999999996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88"/>
      <c r="B71" s="95" t="s">
        <v>432</v>
      </c>
      <c r="C71" s="88">
        <f t="shared" si="3"/>
        <v>8747</v>
      </c>
      <c r="D71" s="88"/>
      <c r="E71" s="88">
        <v>-3498.8</v>
      </c>
      <c r="F71" s="88">
        <f t="shared" si="4"/>
        <v>5248.2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88"/>
      <c r="B72" s="59" t="s">
        <v>433</v>
      </c>
      <c r="C72" s="88">
        <f t="shared" si="3"/>
        <v>13213.800000000001</v>
      </c>
      <c r="D72" s="88"/>
      <c r="E72" s="88">
        <v>-4023.6</v>
      </c>
      <c r="F72" s="88">
        <f t="shared" si="4"/>
        <v>9190.2000000000007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88"/>
      <c r="B73" s="193" t="s">
        <v>594</v>
      </c>
      <c r="C73" s="88">
        <f t="shared" si="3"/>
        <v>2632.764000000001</v>
      </c>
      <c r="D73" s="88"/>
      <c r="E73" s="88">
        <v>-1053.0999999999999</v>
      </c>
      <c r="F73" s="88">
        <f t="shared" si="4"/>
        <v>1579.6640000000011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88"/>
      <c r="B74" s="193" t="s">
        <v>595</v>
      </c>
      <c r="C74" s="88">
        <f t="shared" si="3"/>
        <v>16972.400000000001</v>
      </c>
      <c r="D74" s="88"/>
      <c r="E74" s="88">
        <v>-7367.21</v>
      </c>
      <c r="F74" s="88">
        <f t="shared" si="4"/>
        <v>9605.1900000000023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88"/>
      <c r="B75" s="193" t="s">
        <v>596</v>
      </c>
      <c r="C75" s="88">
        <f t="shared" si="3"/>
        <v>5221.6000000000022</v>
      </c>
      <c r="D75" s="88"/>
      <c r="E75" s="88">
        <v>-2088.64</v>
      </c>
      <c r="F75" s="88">
        <f t="shared" si="4"/>
        <v>3132.9600000000023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88"/>
      <c r="B76" s="96" t="s">
        <v>437</v>
      </c>
      <c r="C76" s="88">
        <f t="shared" si="3"/>
        <v>14000</v>
      </c>
      <c r="D76" s="88"/>
      <c r="E76" s="88">
        <v>-4000</v>
      </c>
      <c r="F76" s="88">
        <f t="shared" si="4"/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88"/>
      <c r="B77" s="96" t="s">
        <v>438</v>
      </c>
      <c r="C77" s="88">
        <f t="shared" si="3"/>
        <v>41573.604000000007</v>
      </c>
      <c r="D77" s="88"/>
      <c r="E77" s="88">
        <v>-12767.2</v>
      </c>
      <c r="F77" s="88">
        <f t="shared" si="4"/>
        <v>28806.404000000006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88"/>
      <c r="B78" s="96" t="s">
        <v>439</v>
      </c>
      <c r="C78" s="88">
        <f>+G38+F49</f>
        <v>45862.7</v>
      </c>
      <c r="D78" s="88"/>
      <c r="E78" s="88">
        <f>-7332.2-3989.4</f>
        <v>-11321.6</v>
      </c>
      <c r="F78" s="88">
        <f>SUM(C78:E78)</f>
        <v>34541.1</v>
      </c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88"/>
      <c r="B79" s="96" t="s">
        <v>440</v>
      </c>
      <c r="C79" s="88">
        <f>+G39</f>
        <v>45493.7</v>
      </c>
      <c r="D79" s="88"/>
      <c r="E79" s="88">
        <v>-12998.2</v>
      </c>
      <c r="F79" s="88">
        <f t="shared" si="4"/>
        <v>32495.499999999996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88"/>
      <c r="B80" s="96" t="s">
        <v>441</v>
      </c>
      <c r="C80" s="88">
        <f>+G40</f>
        <v>23252.6</v>
      </c>
      <c r="D80" s="88"/>
      <c r="E80" s="88">
        <v>-6643.6</v>
      </c>
      <c r="F80" s="88">
        <f t="shared" si="4"/>
        <v>16609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88"/>
      <c r="B81" s="88"/>
      <c r="C81" s="88"/>
      <c r="D81" s="88"/>
      <c r="E81" s="88"/>
      <c r="F81" s="88">
        <f t="shared" si="4"/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88"/>
      <c r="B82" s="184" t="s">
        <v>443</v>
      </c>
      <c r="C82" s="88">
        <f>+G42</f>
        <v>131941.69</v>
      </c>
      <c r="D82" s="88">
        <v>69256.87</v>
      </c>
      <c r="E82" s="88">
        <v>-51091.49</v>
      </c>
      <c r="F82" s="88">
        <f t="shared" si="4"/>
        <v>150107.07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88"/>
      <c r="B83" s="91" t="s">
        <v>445</v>
      </c>
      <c r="C83" s="88">
        <f>+G43</f>
        <v>49431.41</v>
      </c>
      <c r="D83" s="88">
        <v>12417.77</v>
      </c>
      <c r="E83" s="88">
        <v>-15713.48</v>
      </c>
      <c r="F83" s="88">
        <f t="shared" si="4"/>
        <v>46135.700000000012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88"/>
      <c r="B84" s="91" t="s">
        <v>446</v>
      </c>
      <c r="C84" s="88">
        <f>+G44</f>
        <v>118142.48999999999</v>
      </c>
      <c r="D84" s="88">
        <v>1043.3699999999999</v>
      </c>
      <c r="E84" s="88">
        <v>-31979.43</v>
      </c>
      <c r="F84" s="88">
        <f t="shared" si="4"/>
        <v>87206.43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88"/>
      <c r="B85" s="88"/>
      <c r="C85" s="88"/>
      <c r="D85" s="88"/>
      <c r="E85" s="88"/>
      <c r="F85" s="88">
        <f t="shared" si="4"/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88"/>
      <c r="B86" s="125" t="s">
        <v>462</v>
      </c>
      <c r="C86" s="88">
        <f>+F46</f>
        <v>34667.06</v>
      </c>
      <c r="D86" s="88"/>
      <c r="E86" s="88">
        <v>-9416.8799999999992</v>
      </c>
      <c r="F86" s="88">
        <f t="shared" si="4"/>
        <v>25250.18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88"/>
      <c r="B87" s="125" t="s">
        <v>37</v>
      </c>
      <c r="C87" s="88">
        <f>+F47</f>
        <v>53962.12</v>
      </c>
      <c r="D87" s="88"/>
      <c r="E87" s="88">
        <v>-15417.75</v>
      </c>
      <c r="F87" s="88">
        <f t="shared" si="4"/>
        <v>38544.370000000003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88"/>
      <c r="B88" s="125" t="s">
        <v>36</v>
      </c>
      <c r="C88" s="88">
        <f>+F48</f>
        <v>13176</v>
      </c>
      <c r="D88" s="88"/>
      <c r="E88" s="88">
        <v>-2928</v>
      </c>
      <c r="F88" s="88">
        <f t="shared" si="4"/>
        <v>10248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88"/>
      <c r="B89" s="125" t="s">
        <v>39</v>
      </c>
      <c r="C89" s="88">
        <f t="shared" ref="C89:C96" si="5">+F50</f>
        <v>19182.060000000001</v>
      </c>
      <c r="D89" s="88"/>
      <c r="E89" s="88">
        <v>-4262.8</v>
      </c>
      <c r="F89" s="88">
        <f t="shared" si="4"/>
        <v>14919.260000000002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88"/>
      <c r="B90" s="125" t="s">
        <v>295</v>
      </c>
      <c r="C90" s="88">
        <f t="shared" si="5"/>
        <v>10427.040000000001</v>
      </c>
      <c r="D90" s="88"/>
      <c r="E90" s="88">
        <v>-2317.12</v>
      </c>
      <c r="F90" s="88">
        <f t="shared" si="4"/>
        <v>8109.920000000001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88"/>
      <c r="B91" s="125" t="s">
        <v>296</v>
      </c>
      <c r="C91" s="88">
        <f t="shared" si="5"/>
        <v>26981.06</v>
      </c>
      <c r="D91" s="88">
        <v>6905.2</v>
      </c>
      <c r="E91" s="88">
        <v>-9089.92</v>
      </c>
      <c r="F91" s="88">
        <f t="shared" si="4"/>
        <v>24796.340000000004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88"/>
      <c r="B92" s="197" t="s">
        <v>466</v>
      </c>
      <c r="C92" s="88">
        <f t="shared" si="5"/>
        <v>127650.15</v>
      </c>
      <c r="D92" s="88">
        <v>80061.279999999999</v>
      </c>
      <c r="E92" s="88">
        <f>-12132.9-127650</f>
        <v>-139782.9</v>
      </c>
      <c r="F92" s="88">
        <f t="shared" si="4"/>
        <v>67928.53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88"/>
      <c r="B93" s="125" t="s">
        <v>467</v>
      </c>
      <c r="C93" s="88">
        <f>+F54</f>
        <v>11175.99</v>
      </c>
      <c r="D93" s="88">
        <v>3623.4</v>
      </c>
      <c r="E93" s="88">
        <f>-2483.55-362.34</f>
        <v>-2845.8900000000003</v>
      </c>
      <c r="F93" s="88">
        <f t="shared" si="4"/>
        <v>11953.5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88"/>
      <c r="B94" s="194" t="s">
        <v>597</v>
      </c>
      <c r="C94" s="88">
        <f t="shared" si="5"/>
        <v>25082.44</v>
      </c>
      <c r="D94" s="88"/>
      <c r="E94" s="88">
        <v>-25082.44</v>
      </c>
      <c r="F94" s="88">
        <f t="shared" si="4"/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88"/>
      <c r="B95" s="130" t="s">
        <v>69</v>
      </c>
      <c r="C95" s="88">
        <f t="shared" si="5"/>
        <v>26981.06</v>
      </c>
      <c r="D95" s="88"/>
      <c r="E95" s="88">
        <v>-7708.88</v>
      </c>
      <c r="F95" s="88">
        <f t="shared" si="4"/>
        <v>19272.18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88"/>
      <c r="B96" s="195" t="s">
        <v>297</v>
      </c>
      <c r="C96" s="88">
        <f t="shared" si="5"/>
        <v>474550</v>
      </c>
      <c r="D96" s="88">
        <v>83878.16</v>
      </c>
      <c r="E96" s="88">
        <v>-111237.65</v>
      </c>
      <c r="F96" s="88">
        <f t="shared" si="4"/>
        <v>447190.51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88"/>
      <c r="B97" s="196" t="s">
        <v>45</v>
      </c>
      <c r="C97" s="88">
        <v>0</v>
      </c>
      <c r="D97" s="88">
        <v>47157.39</v>
      </c>
      <c r="E97" s="88">
        <v>-5894.67</v>
      </c>
      <c r="F97" s="88">
        <f t="shared" si="4"/>
        <v>41262.720000000001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88"/>
      <c r="B98" s="196" t="s">
        <v>46</v>
      </c>
      <c r="C98" s="88">
        <v>0</v>
      </c>
      <c r="D98" s="88">
        <v>44977.74</v>
      </c>
      <c r="E98" s="88">
        <v>-5622.22</v>
      </c>
      <c r="F98" s="88">
        <f t="shared" si="4"/>
        <v>39355.519999999997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88"/>
      <c r="B99" s="202" t="s">
        <v>603</v>
      </c>
      <c r="C99" s="88">
        <v>0</v>
      </c>
      <c r="D99" s="88">
        <v>149170</v>
      </c>
      <c r="E99" s="88">
        <v>0</v>
      </c>
      <c r="F99" s="88">
        <f t="shared" si="4"/>
        <v>149170</v>
      </c>
      <c r="G99" s="5" t="s">
        <v>604</v>
      </c>
      <c r="H99" s="88">
        <f>+F70+F71+F73+F74+F75+F76+F77+F78+F79+F80+F86+F87+F88+F89+F90+F91+F92+F93+F99+F100+F101</f>
        <v>628605.18800000008</v>
      </c>
      <c r="I99" s="5" t="s">
        <v>647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88"/>
      <c r="B100" s="202" t="s">
        <v>605</v>
      </c>
      <c r="C100" s="88">
        <v>0</v>
      </c>
      <c r="D100" s="88">
        <v>27411.33</v>
      </c>
      <c r="E100" s="88">
        <v>0</v>
      </c>
      <c r="F100" s="88">
        <f t="shared" si="4"/>
        <v>27411.33</v>
      </c>
      <c r="G100" s="5" t="s">
        <v>604</v>
      </c>
      <c r="H100" s="198">
        <f>+F98+F97+F96+F84+F83+F82+F69-2342.53</f>
        <v>815850.40999999992</v>
      </c>
      <c r="I100" s="5" t="s">
        <v>648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88"/>
      <c r="B101" s="202" t="s">
        <v>607</v>
      </c>
      <c r="C101" s="88">
        <v>0</v>
      </c>
      <c r="D101" s="88">
        <v>104745.8</v>
      </c>
      <c r="E101" s="88"/>
      <c r="F101" s="88">
        <f t="shared" si="4"/>
        <v>104745.8</v>
      </c>
      <c r="G101" s="5" t="s">
        <v>604</v>
      </c>
      <c r="H101" s="88">
        <f>+F95+F72</f>
        <v>28462.38</v>
      </c>
      <c r="I101" s="5" t="s">
        <v>649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88"/>
      <c r="B102" s="88"/>
      <c r="C102" s="88"/>
      <c r="D102" s="88"/>
      <c r="E102" s="88"/>
      <c r="F102" s="88"/>
      <c r="G102" s="1"/>
      <c r="H102" s="88">
        <f>SUM(H99:H101)</f>
        <v>1472917.9779999999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88"/>
      <c r="B103" s="198" t="s">
        <v>599</v>
      </c>
      <c r="C103" s="88"/>
      <c r="D103" s="88">
        <f>SUM(D69:D102)</f>
        <v>630648.31000000006</v>
      </c>
      <c r="E103" s="88">
        <f>SUM(E69:E102)</f>
        <v>-512558.34999999992</v>
      </c>
      <c r="F103" s="88">
        <f>+C66+D103+E103</f>
        <v>1472917.86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88"/>
      <c r="B104" s="88"/>
      <c r="C104" s="88"/>
      <c r="D104" s="88"/>
      <c r="E104" s="88"/>
      <c r="F104" s="88">
        <v>1472917.98</v>
      </c>
      <c r="G104" s="5" t="s">
        <v>143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88"/>
      <c r="B105" s="88"/>
      <c r="C105" s="88"/>
      <c r="D105" s="88"/>
      <c r="E105" s="88"/>
      <c r="F105" s="88">
        <f>+F103-F104</f>
        <v>-0.11999999987892807</v>
      </c>
      <c r="G105" s="5" t="s">
        <v>471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88"/>
      <c r="B106" s="88"/>
      <c r="C106" s="88"/>
      <c r="D106" s="88"/>
      <c r="E106" s="88"/>
      <c r="F106" s="8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88"/>
      <c r="B107" s="183" t="s">
        <v>681</v>
      </c>
      <c r="C107" s="183" t="s">
        <v>682</v>
      </c>
      <c r="D107" s="183" t="s">
        <v>591</v>
      </c>
      <c r="E107" s="183" t="s">
        <v>683</v>
      </c>
      <c r="F107" s="183" t="s">
        <v>684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88"/>
      <c r="B108" s="184" t="s">
        <v>140</v>
      </c>
      <c r="C108" s="88">
        <f>+F69</f>
        <v>6934.9899999999961</v>
      </c>
      <c r="D108" s="88"/>
      <c r="E108" s="88">
        <v>-4064.92</v>
      </c>
      <c r="F108" s="292">
        <f>SUM(C108:E108)-2342</f>
        <v>528.06999999999607</v>
      </c>
      <c r="G108" s="335">
        <v>2869</v>
      </c>
      <c r="H108" s="338">
        <f>+F108-G108</f>
        <v>-2340.9300000000039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88"/>
      <c r="B109" s="91" t="s">
        <v>445</v>
      </c>
      <c r="C109" s="88">
        <f>+F83</f>
        <v>46135.700000000012</v>
      </c>
      <c r="D109" s="88"/>
      <c r="E109" s="88">
        <v>-15713.48</v>
      </c>
      <c r="F109" s="292">
        <f t="shared" ref="F109:F139" si="6">SUM(C109:E109)</f>
        <v>30422.220000000012</v>
      </c>
      <c r="G109" s="335">
        <v>30422</v>
      </c>
      <c r="H109" s="338">
        <f t="shared" ref="H109:H139" si="7">+F109-G109</f>
        <v>0.22000000001207809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88"/>
      <c r="B110" s="91" t="s">
        <v>446</v>
      </c>
      <c r="C110" s="88">
        <f>+F84</f>
        <v>87206.43</v>
      </c>
      <c r="D110" s="88"/>
      <c r="E110" s="88">
        <v>-31979.43</v>
      </c>
      <c r="F110" s="292">
        <f t="shared" si="6"/>
        <v>55226.999999999993</v>
      </c>
      <c r="G110" s="335">
        <v>55227</v>
      </c>
      <c r="H110" s="338">
        <f t="shared" si="7"/>
        <v>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88"/>
      <c r="B111" s="184" t="s">
        <v>443</v>
      </c>
      <c r="C111" s="88">
        <v>150107.07</v>
      </c>
      <c r="D111" s="88"/>
      <c r="E111" s="88">
        <v>-51853.99</v>
      </c>
      <c r="F111" s="292">
        <f t="shared" si="6"/>
        <v>98253.080000000016</v>
      </c>
      <c r="G111" s="335">
        <v>98253</v>
      </c>
      <c r="H111" s="338">
        <f t="shared" si="7"/>
        <v>8.0000000016298145E-2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88"/>
      <c r="B112" s="193" t="s">
        <v>593</v>
      </c>
      <c r="C112" s="88">
        <f>+F70</f>
        <v>3509.9399999999996</v>
      </c>
      <c r="D112" s="88"/>
      <c r="E112" s="88">
        <v>-2339.96</v>
      </c>
      <c r="F112" s="292">
        <f t="shared" si="6"/>
        <v>1169.9799999999996</v>
      </c>
      <c r="G112" s="335">
        <v>1170</v>
      </c>
      <c r="H112" s="338">
        <f t="shared" si="7"/>
        <v>-2.0000000000436557E-2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88"/>
      <c r="B113" s="95" t="s">
        <v>432</v>
      </c>
      <c r="C113" s="88">
        <f>+F71</f>
        <v>5248.2</v>
      </c>
      <c r="D113" s="88"/>
      <c r="E113" s="88">
        <v>-3498.8</v>
      </c>
      <c r="F113" s="292">
        <f t="shared" si="6"/>
        <v>1749.3999999999996</v>
      </c>
      <c r="G113" s="335">
        <v>1749.1999999999998</v>
      </c>
      <c r="H113" s="338">
        <f t="shared" si="7"/>
        <v>0.1999999999998181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88"/>
      <c r="B114" s="59" t="s">
        <v>433</v>
      </c>
      <c r="C114" s="88">
        <f t="shared" ref="C114:C122" si="8">+F72</f>
        <v>9190.2000000000007</v>
      </c>
      <c r="D114" s="88"/>
      <c r="E114" s="88">
        <v>-4023.6</v>
      </c>
      <c r="F114" s="292">
        <f t="shared" si="6"/>
        <v>5166.6000000000004</v>
      </c>
      <c r="G114" s="335">
        <v>5166</v>
      </c>
      <c r="H114" s="338">
        <f t="shared" si="7"/>
        <v>0.6000000000003638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88"/>
      <c r="B115" s="193" t="s">
        <v>594</v>
      </c>
      <c r="C115" s="88">
        <f t="shared" si="8"/>
        <v>1579.6640000000011</v>
      </c>
      <c r="D115" s="88"/>
      <c r="E115" s="88">
        <v>-1053.0999999999999</v>
      </c>
      <c r="F115" s="292">
        <f t="shared" si="6"/>
        <v>526.56400000000122</v>
      </c>
      <c r="G115" s="335">
        <v>527</v>
      </c>
      <c r="H115" s="338">
        <f t="shared" si="7"/>
        <v>-0.43599999999878492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88"/>
      <c r="B116" s="193" t="s">
        <v>595</v>
      </c>
      <c r="C116" s="88">
        <f t="shared" si="8"/>
        <v>9605.1900000000023</v>
      </c>
      <c r="D116" s="88"/>
      <c r="E116" s="88">
        <v>-7367.21</v>
      </c>
      <c r="F116" s="292">
        <f t="shared" si="6"/>
        <v>2237.9800000000023</v>
      </c>
      <c r="G116" s="335">
        <v>2238</v>
      </c>
      <c r="H116" s="338">
        <f t="shared" si="7"/>
        <v>-1.9999999997708073E-2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88"/>
      <c r="B117" s="193" t="s">
        <v>596</v>
      </c>
      <c r="C117" s="88">
        <f t="shared" si="8"/>
        <v>3132.9600000000023</v>
      </c>
      <c r="D117" s="88"/>
      <c r="E117" s="88">
        <v>-2088.64</v>
      </c>
      <c r="F117" s="292">
        <f t="shared" si="6"/>
        <v>1044.3200000000024</v>
      </c>
      <c r="G117" s="335">
        <v>1044</v>
      </c>
      <c r="H117" s="338">
        <f t="shared" si="7"/>
        <v>0.32000000000243745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88"/>
      <c r="B118" s="96" t="s">
        <v>437</v>
      </c>
      <c r="C118" s="88">
        <f t="shared" si="8"/>
        <v>10000</v>
      </c>
      <c r="D118" s="88"/>
      <c r="E118" s="88">
        <v>-4000</v>
      </c>
      <c r="F118" s="292">
        <f t="shared" si="6"/>
        <v>6000</v>
      </c>
      <c r="G118" s="335">
        <v>6000</v>
      </c>
      <c r="H118" s="338">
        <f t="shared" si="7"/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88"/>
      <c r="B119" s="96" t="s">
        <v>438</v>
      </c>
      <c r="C119" s="88">
        <f t="shared" si="8"/>
        <v>28806.404000000006</v>
      </c>
      <c r="D119" s="88"/>
      <c r="E119" s="88">
        <v>-12767.28</v>
      </c>
      <c r="F119" s="292">
        <f t="shared" si="6"/>
        <v>16039.124000000005</v>
      </c>
      <c r="G119" s="335">
        <v>16039</v>
      </c>
      <c r="H119" s="338">
        <f t="shared" si="7"/>
        <v>0.12400000000525324</v>
      </c>
      <c r="I119" s="1"/>
      <c r="J119" s="17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88"/>
      <c r="B120" s="96" t="s">
        <v>439</v>
      </c>
      <c r="C120" s="88">
        <f t="shared" si="8"/>
        <v>34541.1</v>
      </c>
      <c r="D120" s="88"/>
      <c r="E120" s="88">
        <v>-11321.6</v>
      </c>
      <c r="F120" s="292">
        <f t="shared" si="6"/>
        <v>23219.5</v>
      </c>
      <c r="G120" s="336">
        <v>23219</v>
      </c>
      <c r="H120" s="338">
        <f t="shared" si="7"/>
        <v>0.5</v>
      </c>
      <c r="I120" s="1"/>
      <c r="J120" s="17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88"/>
      <c r="B121" s="96" t="s">
        <v>440</v>
      </c>
      <c r="C121" s="88">
        <f t="shared" si="8"/>
        <v>32495.499999999996</v>
      </c>
      <c r="D121" s="88"/>
      <c r="E121" s="88">
        <v>-12998.2</v>
      </c>
      <c r="F121" s="292">
        <f t="shared" si="6"/>
        <v>19497.299999999996</v>
      </c>
      <c r="G121" s="335">
        <v>19497.8</v>
      </c>
      <c r="H121" s="338">
        <f t="shared" si="7"/>
        <v>-0.50000000000363798</v>
      </c>
      <c r="I121" s="1"/>
      <c r="J121" s="27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88"/>
      <c r="B122" s="96" t="s">
        <v>441</v>
      </c>
      <c r="C122" s="88">
        <f t="shared" si="8"/>
        <v>16609</v>
      </c>
      <c r="D122" s="88"/>
      <c r="E122" s="88">
        <v>-6643.6</v>
      </c>
      <c r="F122" s="292">
        <f t="shared" si="6"/>
        <v>9965.4</v>
      </c>
      <c r="G122" s="335">
        <v>9965</v>
      </c>
      <c r="H122" s="338">
        <f t="shared" si="7"/>
        <v>0.3999999999996362</v>
      </c>
      <c r="I122" s="1"/>
      <c r="J122" s="27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88"/>
      <c r="B123" s="125" t="s">
        <v>462</v>
      </c>
      <c r="C123" s="88">
        <f>+F86</f>
        <v>25250.18</v>
      </c>
      <c r="D123" s="88"/>
      <c r="E123" s="88">
        <v>-9416.8799999999992</v>
      </c>
      <c r="F123" s="292">
        <f t="shared" si="6"/>
        <v>15833.300000000001</v>
      </c>
      <c r="G123" s="335">
        <v>15835</v>
      </c>
      <c r="H123" s="338">
        <f t="shared" si="7"/>
        <v>-1.6999999999989086</v>
      </c>
      <c r="I123" s="1"/>
      <c r="J123" s="27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88"/>
      <c r="B124" s="125" t="s">
        <v>37</v>
      </c>
      <c r="C124" s="88">
        <f>+F87</f>
        <v>38544.370000000003</v>
      </c>
      <c r="D124" s="88"/>
      <c r="E124" s="88">
        <v>-15417.75</v>
      </c>
      <c r="F124" s="292">
        <f t="shared" si="6"/>
        <v>23126.620000000003</v>
      </c>
      <c r="G124" s="335">
        <v>23126</v>
      </c>
      <c r="H124" s="338">
        <f t="shared" si="7"/>
        <v>0.62000000000261934</v>
      </c>
      <c r="I124" s="1"/>
      <c r="J124" s="3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88"/>
      <c r="B125" s="125" t="s">
        <v>36</v>
      </c>
      <c r="C125" s="88">
        <f t="shared" ref="C125:C130" si="9">+F88</f>
        <v>10248</v>
      </c>
      <c r="D125" s="88"/>
      <c r="E125" s="88">
        <v>-2928</v>
      </c>
      <c r="F125" s="292">
        <f t="shared" si="6"/>
        <v>7320</v>
      </c>
      <c r="G125" s="335">
        <v>7320</v>
      </c>
      <c r="H125" s="338">
        <f t="shared" si="7"/>
        <v>0</v>
      </c>
      <c r="I125" s="1"/>
      <c r="J125" s="17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88"/>
      <c r="B126" s="125" t="s">
        <v>39</v>
      </c>
      <c r="C126" s="88">
        <f t="shared" si="9"/>
        <v>14919.260000000002</v>
      </c>
      <c r="D126" s="88"/>
      <c r="E126" s="88">
        <v>-4262.68</v>
      </c>
      <c r="F126" s="292">
        <f t="shared" si="6"/>
        <v>10656.580000000002</v>
      </c>
      <c r="G126" s="335">
        <v>10656</v>
      </c>
      <c r="H126" s="338">
        <f t="shared" si="7"/>
        <v>0.58000000000174623</v>
      </c>
      <c r="I126" s="1"/>
      <c r="J126" s="34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88"/>
      <c r="B127" s="125" t="s">
        <v>295</v>
      </c>
      <c r="C127" s="88">
        <f t="shared" si="9"/>
        <v>8109.920000000001</v>
      </c>
      <c r="D127" s="88"/>
      <c r="E127" s="88">
        <v>-2317.12</v>
      </c>
      <c r="F127" s="292">
        <f t="shared" si="6"/>
        <v>5792.8000000000011</v>
      </c>
      <c r="G127" s="335">
        <v>5793</v>
      </c>
      <c r="H127" s="338">
        <f t="shared" si="7"/>
        <v>-0.19999999999890861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88"/>
      <c r="B128" s="125" t="s">
        <v>296</v>
      </c>
      <c r="C128" s="88">
        <f t="shared" si="9"/>
        <v>24796.340000000004</v>
      </c>
      <c r="D128" s="88"/>
      <c r="E128" s="88">
        <v>-9089.92</v>
      </c>
      <c r="F128" s="292">
        <f t="shared" si="6"/>
        <v>15706.420000000004</v>
      </c>
      <c r="G128" s="335">
        <v>15707</v>
      </c>
      <c r="H128" s="338">
        <f t="shared" si="7"/>
        <v>-0.57999999999628926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88"/>
      <c r="B129" s="197" t="s">
        <v>466</v>
      </c>
      <c r="C129" s="88">
        <f t="shared" si="9"/>
        <v>67928.53</v>
      </c>
      <c r="D129" s="88"/>
      <c r="E129" s="88">
        <v>-20201.98</v>
      </c>
      <c r="F129" s="292">
        <f t="shared" si="6"/>
        <v>47726.55</v>
      </c>
      <c r="G129" s="335">
        <v>47726</v>
      </c>
      <c r="H129" s="338">
        <f t="shared" si="7"/>
        <v>0.55000000000291038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88"/>
      <c r="B130" s="125" t="s">
        <v>467</v>
      </c>
      <c r="C130" s="88">
        <f t="shared" si="9"/>
        <v>11953.5</v>
      </c>
      <c r="D130" s="88"/>
      <c r="E130" s="88">
        <v>-3208.35</v>
      </c>
      <c r="F130" s="292">
        <f t="shared" si="6"/>
        <v>8745.15</v>
      </c>
      <c r="G130" s="335">
        <v>8746</v>
      </c>
      <c r="H130" s="338">
        <f t="shared" si="7"/>
        <v>-0.8500000000003638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88"/>
      <c r="B131" s="202" t="s">
        <v>603</v>
      </c>
      <c r="C131" s="88">
        <f>+F99</f>
        <v>149170</v>
      </c>
      <c r="D131" s="88">
        <v>23744.25</v>
      </c>
      <c r="E131" s="88">
        <v>-149170</v>
      </c>
      <c r="F131" s="292">
        <f t="shared" si="6"/>
        <v>23744.25</v>
      </c>
      <c r="G131" s="335">
        <v>23744</v>
      </c>
      <c r="H131" s="338">
        <f t="shared" si="7"/>
        <v>0.25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88"/>
      <c r="B132" s="202" t="s">
        <v>605</v>
      </c>
      <c r="C132" s="88">
        <f>+F100</f>
        <v>27411.33</v>
      </c>
      <c r="D132" s="88">
        <v>38322.47</v>
      </c>
      <c r="E132" s="88">
        <v>-10218.6</v>
      </c>
      <c r="F132" s="292">
        <f t="shared" si="6"/>
        <v>55515.200000000004</v>
      </c>
      <c r="G132" s="335">
        <v>17193</v>
      </c>
      <c r="H132" s="338">
        <f t="shared" si="7"/>
        <v>38322.200000000004</v>
      </c>
      <c r="I132" s="5" t="s">
        <v>843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88"/>
      <c r="B133" s="202" t="s">
        <v>613</v>
      </c>
      <c r="C133" s="88">
        <f>+F101</f>
        <v>104745.8</v>
      </c>
      <c r="D133" s="88"/>
      <c r="E133" s="88">
        <v>-104745.8</v>
      </c>
      <c r="F133" s="292">
        <f t="shared" si="6"/>
        <v>0</v>
      </c>
      <c r="G133" s="337"/>
      <c r="H133" s="338">
        <f t="shared" si="7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88"/>
      <c r="B134" s="130" t="s">
        <v>69</v>
      </c>
      <c r="C134" s="88">
        <f>+F95</f>
        <v>19272.18</v>
      </c>
      <c r="D134" s="88"/>
      <c r="E134" s="88">
        <v>-7708.88</v>
      </c>
      <c r="F134" s="292">
        <f t="shared" si="6"/>
        <v>11563.3</v>
      </c>
      <c r="G134" s="335">
        <v>11564</v>
      </c>
      <c r="H134" s="338">
        <f t="shared" si="7"/>
        <v>-0.7000000000007276</v>
      </c>
      <c r="J134" s="27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88"/>
      <c r="B135" s="91" t="s">
        <v>297</v>
      </c>
      <c r="C135" s="88">
        <f>+F96</f>
        <v>447190.51</v>
      </c>
      <c r="D135" s="88"/>
      <c r="E135" s="88">
        <v>-126512.54</v>
      </c>
      <c r="F135" s="292">
        <f t="shared" si="6"/>
        <v>320677.97000000003</v>
      </c>
      <c r="G135" s="335">
        <v>320678</v>
      </c>
      <c r="H135" s="338">
        <f t="shared" si="7"/>
        <v>-2.9999999969732016E-2</v>
      </c>
      <c r="J135" s="27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88"/>
      <c r="B136" s="91" t="s">
        <v>45</v>
      </c>
      <c r="C136" s="88">
        <f>+F97</f>
        <v>41262.720000000001</v>
      </c>
      <c r="D136" s="88"/>
      <c r="E136" s="88">
        <v>-11789.35</v>
      </c>
      <c r="F136" s="292">
        <f t="shared" si="6"/>
        <v>29473.370000000003</v>
      </c>
      <c r="G136" s="335">
        <v>29473</v>
      </c>
      <c r="H136" s="338">
        <f t="shared" si="7"/>
        <v>0.37000000000261934</v>
      </c>
      <c r="J136" s="27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88"/>
      <c r="B137" s="91" t="s">
        <v>46</v>
      </c>
      <c r="C137" s="88">
        <f>+F98</f>
        <v>39355.519999999997</v>
      </c>
      <c r="D137" s="88">
        <v>60011.81</v>
      </c>
      <c r="E137" s="88">
        <v>-17245.62</v>
      </c>
      <c r="F137" s="292">
        <f t="shared" si="6"/>
        <v>82121.709999999992</v>
      </c>
      <c r="G137" s="335">
        <v>82122</v>
      </c>
      <c r="H137" s="338">
        <f t="shared" si="7"/>
        <v>-0.29000000000814907</v>
      </c>
      <c r="J137" s="3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88"/>
      <c r="B138" s="302" t="s">
        <v>41</v>
      </c>
      <c r="C138" s="88">
        <v>0</v>
      </c>
      <c r="D138" s="88">
        <v>370671.62</v>
      </c>
      <c r="E138" s="88"/>
      <c r="F138" s="292">
        <f t="shared" si="6"/>
        <v>370671.62</v>
      </c>
      <c r="G138" s="335">
        <v>370671</v>
      </c>
      <c r="H138" s="338">
        <f t="shared" si="7"/>
        <v>0.61999999999534339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88"/>
      <c r="B139" s="329" t="s">
        <v>710</v>
      </c>
      <c r="C139" s="88">
        <v>0</v>
      </c>
      <c r="D139" s="197">
        <v>20988</v>
      </c>
      <c r="E139" s="197">
        <v>0</v>
      </c>
      <c r="F139" s="197">
        <f t="shared" si="6"/>
        <v>20988</v>
      </c>
      <c r="G139" s="335">
        <v>20988</v>
      </c>
      <c r="H139" s="338">
        <f t="shared" si="7"/>
        <v>0</v>
      </c>
      <c r="I139" s="303" t="s">
        <v>844</v>
      </c>
      <c r="J139" s="29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88"/>
      <c r="B140" s="198"/>
      <c r="C140" s="88"/>
      <c r="G140" s="339">
        <v>39974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88"/>
      <c r="B141" s="88"/>
      <c r="C141" s="88"/>
      <c r="D141" s="88"/>
      <c r="E141" s="88"/>
      <c r="F141" s="88"/>
      <c r="G141" s="340">
        <v>14396</v>
      </c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88"/>
      <c r="B142" s="88"/>
      <c r="C142" s="88"/>
      <c r="D142" s="88"/>
      <c r="E142" s="88"/>
      <c r="F142" s="88"/>
      <c r="G142" s="341">
        <f>SUM(G108:G141)</f>
        <v>1339098</v>
      </c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88"/>
      <c r="B143" s="88"/>
      <c r="C143" s="88"/>
      <c r="D143" s="88"/>
      <c r="E143" s="88"/>
      <c r="F143" s="88"/>
      <c r="G143" s="293"/>
      <c r="H143" s="34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88"/>
      <c r="B144" s="88"/>
      <c r="C144" s="88"/>
      <c r="D144" s="88">
        <f>SUM(D108:D139)</f>
        <v>513738.15</v>
      </c>
      <c r="E144" s="88">
        <f>SUM(E108:E139)</f>
        <v>-665947.28</v>
      </c>
      <c r="F144" s="88">
        <f>+F103+D144+E144</f>
        <v>1320708.7300000002</v>
      </c>
      <c r="G144" s="5" t="s">
        <v>761</v>
      </c>
      <c r="H144" s="29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88"/>
      <c r="B145" s="88"/>
      <c r="C145" s="88"/>
      <c r="D145" s="88"/>
      <c r="E145" s="88"/>
      <c r="F145" s="88">
        <v>1320708.54</v>
      </c>
      <c r="G145" s="5" t="s">
        <v>32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88"/>
      <c r="B146" s="88"/>
      <c r="C146" s="88"/>
      <c r="D146" s="88"/>
      <c r="E146" s="88"/>
      <c r="F146" s="8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88"/>
      <c r="B147" s="88"/>
      <c r="C147" s="88"/>
      <c r="D147" s="88"/>
      <c r="E147" s="198"/>
      <c r="F147" s="8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88"/>
      <c r="B148" s="88"/>
      <c r="C148" s="88"/>
      <c r="D148" s="88"/>
      <c r="E148" s="88"/>
      <c r="F148" s="8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88"/>
      <c r="B149" s="88"/>
      <c r="C149" s="88"/>
      <c r="D149" s="88"/>
      <c r="E149" s="88"/>
      <c r="F149" s="88"/>
      <c r="G149" s="1"/>
      <c r="H149" s="345" t="s">
        <v>619</v>
      </c>
      <c r="I149" s="346">
        <f>+F139+F133+F132+F131+F130+F129+F128+F127+F126+F125+F124+F123+F122+F121+F120+F119+F118+F117+F116+F115+F113+F112</f>
        <v>316604.43800000002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88"/>
      <c r="B150" s="88"/>
      <c r="C150" s="88"/>
      <c r="D150" s="88"/>
      <c r="E150" s="88"/>
      <c r="F150" s="88"/>
      <c r="G150" s="1"/>
      <c r="H150" s="345" t="s">
        <v>468</v>
      </c>
      <c r="I150" s="346">
        <f>+F108+F109+F110+F111+F135+F136+F137+F138</f>
        <v>987375.04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88"/>
      <c r="B151" s="88"/>
      <c r="C151" s="88"/>
      <c r="D151" s="88"/>
      <c r="E151" s="88"/>
      <c r="F151" s="88"/>
      <c r="G151" s="1"/>
      <c r="H151" s="345" t="s">
        <v>469</v>
      </c>
      <c r="I151" s="346">
        <f>+F134+F114</f>
        <v>16729.900000000001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88"/>
      <c r="B152" s="183" t="s">
        <v>714</v>
      </c>
      <c r="C152" s="88"/>
      <c r="D152" s="88"/>
      <c r="E152" s="88"/>
      <c r="F152" s="122"/>
      <c r="G152" s="88"/>
      <c r="H152" s="177"/>
      <c r="I152" s="347">
        <f>SUM(I149:I151)</f>
        <v>1320709.378</v>
      </c>
      <c r="J152" s="8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88"/>
      <c r="B153" s="88"/>
      <c r="C153" s="88"/>
      <c r="D153" s="88"/>
      <c r="E153" s="88"/>
      <c r="F153" s="88"/>
      <c r="G153" s="1"/>
      <c r="H153" s="1"/>
      <c r="I153" s="34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88"/>
      <c r="B154" s="198" t="s">
        <v>716</v>
      </c>
      <c r="C154" s="88">
        <v>22000</v>
      </c>
      <c r="D154" s="88"/>
      <c r="E154" s="88"/>
      <c r="F154" s="88"/>
      <c r="G154" s="1"/>
      <c r="H154" s="1"/>
      <c r="I154" s="344"/>
      <c r="J154" s="8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88"/>
      <c r="B155" s="198" t="s">
        <v>715</v>
      </c>
      <c r="C155" s="88">
        <v>39063.300000000003</v>
      </c>
      <c r="D155" s="88"/>
      <c r="E155" s="88"/>
      <c r="F155" s="8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88"/>
      <c r="B156" s="198" t="s">
        <v>717</v>
      </c>
      <c r="C156" s="88">
        <f>73.59+2420.97</f>
        <v>2494.56</v>
      </c>
      <c r="D156" s="88"/>
      <c r="E156" s="88"/>
      <c r="F156" s="88"/>
      <c r="G156" s="1"/>
      <c r="H156" s="1"/>
      <c r="I156" s="1"/>
      <c r="J156" s="29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88"/>
      <c r="B157" s="198" t="s">
        <v>718</v>
      </c>
      <c r="C157" s="88">
        <v>1787.5</v>
      </c>
      <c r="D157" s="88"/>
      <c r="E157" s="88"/>
      <c r="F157" s="8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88"/>
      <c r="B158" s="198" t="s">
        <v>719</v>
      </c>
      <c r="C158" s="88">
        <v>8000</v>
      </c>
      <c r="D158" s="88"/>
      <c r="E158" s="88"/>
      <c r="F158" s="8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88"/>
      <c r="B159" s="198" t="s">
        <v>720</v>
      </c>
      <c r="C159" s="88">
        <v>345.6</v>
      </c>
      <c r="D159" s="88"/>
      <c r="E159" s="88"/>
      <c r="F159" s="8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88"/>
      <c r="B160" s="198" t="s">
        <v>722</v>
      </c>
      <c r="C160" s="88">
        <f>8867.45-2955.81</f>
        <v>5911.6400000000012</v>
      </c>
      <c r="D160" s="88"/>
      <c r="E160" s="88"/>
      <c r="F160" s="8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88"/>
      <c r="B161" s="198" t="s">
        <v>721</v>
      </c>
      <c r="C161" s="88">
        <v>19276.669999999998</v>
      </c>
      <c r="D161" s="88"/>
      <c r="E161" s="88"/>
      <c r="F161" s="8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88"/>
      <c r="B162" s="183" t="s">
        <v>688</v>
      </c>
      <c r="C162" s="183">
        <f>SUM(C154:C161)</f>
        <v>98879.27</v>
      </c>
      <c r="D162" s="198" t="s">
        <v>103</v>
      </c>
      <c r="E162" s="88"/>
      <c r="F162" s="8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88"/>
      <c r="B163" s="88"/>
      <c r="C163" s="88"/>
      <c r="D163" s="88"/>
      <c r="E163" s="88"/>
      <c r="F163" s="8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88"/>
      <c r="B164" s="88"/>
      <c r="C164" s="88"/>
      <c r="D164" s="88"/>
      <c r="E164" s="88"/>
      <c r="F164" s="8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88"/>
      <c r="B165" s="88"/>
      <c r="C165" s="88"/>
      <c r="D165" s="88"/>
      <c r="E165" s="88"/>
      <c r="F165" s="8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88"/>
      <c r="B166" s="88"/>
      <c r="C166" s="88"/>
      <c r="D166" s="88"/>
      <c r="E166" s="88"/>
      <c r="F166" s="8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88"/>
      <c r="B167" s="183" t="s">
        <v>879</v>
      </c>
      <c r="C167" s="183"/>
      <c r="D167" s="183"/>
      <c r="E167" s="183"/>
      <c r="F167" s="183">
        <f>+F144</f>
        <v>1320708.7300000002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88"/>
      <c r="B168" s="183" t="s">
        <v>880</v>
      </c>
      <c r="C168" s="183" t="s">
        <v>881</v>
      </c>
      <c r="D168" s="183" t="s">
        <v>880</v>
      </c>
      <c r="E168" s="183"/>
      <c r="F168" s="183" t="s">
        <v>882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88"/>
      <c r="B169" s="88"/>
      <c r="C169" s="88"/>
      <c r="D169" s="88"/>
      <c r="E169" s="88"/>
      <c r="F169" s="8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88"/>
      <c r="B170" s="184" t="s">
        <v>140</v>
      </c>
      <c r="C170" s="88">
        <v>528.06999999999607</v>
      </c>
      <c r="D170" s="88"/>
      <c r="E170" s="88">
        <v>-528.07000000000005</v>
      </c>
      <c r="F170" s="88">
        <f>+C170+D170+E170</f>
        <v>-3.979039320256561E-12</v>
      </c>
      <c r="G170" s="5" t="s">
        <v>884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88"/>
      <c r="B171" s="91" t="s">
        <v>445</v>
      </c>
      <c r="C171" s="88">
        <v>30422.220000000012</v>
      </c>
      <c r="D171" s="88"/>
      <c r="E171" s="88">
        <v>-15713</v>
      </c>
      <c r="F171" s="88">
        <f t="shared" ref="F171:F202" si="10">+C171+D171+E171</f>
        <v>14709.220000000012</v>
      </c>
      <c r="G171" s="5" t="s">
        <v>646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88"/>
      <c r="B172" s="91" t="s">
        <v>446</v>
      </c>
      <c r="C172" s="88">
        <v>55226.999999999993</v>
      </c>
      <c r="D172" s="88"/>
      <c r="E172" s="88">
        <v>-31979</v>
      </c>
      <c r="F172" s="88">
        <f t="shared" si="10"/>
        <v>23247.999999999993</v>
      </c>
      <c r="G172" s="5" t="s">
        <v>646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88"/>
      <c r="B173" s="184" t="s">
        <v>443</v>
      </c>
      <c r="C173" s="88">
        <v>98253.080000000016</v>
      </c>
      <c r="D173" s="88"/>
      <c r="E173" s="88">
        <v>-51854</v>
      </c>
      <c r="F173" s="88">
        <f t="shared" si="10"/>
        <v>46399.080000000016</v>
      </c>
      <c r="G173" s="5" t="s">
        <v>646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88"/>
      <c r="B174" s="193" t="s">
        <v>593</v>
      </c>
      <c r="C174" s="88">
        <v>1169.9799999999996</v>
      </c>
      <c r="D174" s="88"/>
      <c r="E174" s="88">
        <v>-1169.98</v>
      </c>
      <c r="F174" s="88">
        <f t="shared" si="10"/>
        <v>0</v>
      </c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88"/>
      <c r="B175" s="95" t="s">
        <v>432</v>
      </c>
      <c r="C175" s="88">
        <v>1749.3999999999996</v>
      </c>
      <c r="D175" s="88"/>
      <c r="E175" s="88">
        <v>-1749.4</v>
      </c>
      <c r="F175" s="88">
        <f t="shared" si="10"/>
        <v>0</v>
      </c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88"/>
      <c r="B176" s="59" t="s">
        <v>433</v>
      </c>
      <c r="C176" s="88">
        <v>5166.6000000000004</v>
      </c>
      <c r="D176" s="88"/>
      <c r="E176" s="88">
        <v>-3589</v>
      </c>
      <c r="F176" s="88">
        <f t="shared" si="10"/>
        <v>1577.6000000000004</v>
      </c>
      <c r="G176" s="5" t="s">
        <v>646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88"/>
      <c r="B177" s="193" t="s">
        <v>594</v>
      </c>
      <c r="C177" s="88">
        <v>526.56400000000122</v>
      </c>
      <c r="D177" s="88"/>
      <c r="E177" s="88">
        <v>-526.55999999999995</v>
      </c>
      <c r="F177" s="88">
        <f t="shared" si="10"/>
        <v>4.0000000012696546E-3</v>
      </c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88"/>
      <c r="B178" s="193" t="s">
        <v>595</v>
      </c>
      <c r="C178" s="88">
        <v>2237.9800000000023</v>
      </c>
      <c r="D178" s="88"/>
      <c r="E178" s="88">
        <v>-2237.98</v>
      </c>
      <c r="F178" s="88">
        <f t="shared" si="10"/>
        <v>0</v>
      </c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88"/>
      <c r="B179" s="193" t="s">
        <v>596</v>
      </c>
      <c r="C179" s="88">
        <v>1044.3200000000024</v>
      </c>
      <c r="D179" s="88"/>
      <c r="E179" s="88">
        <v>-1044.32</v>
      </c>
      <c r="F179" s="88">
        <f t="shared" si="10"/>
        <v>2.5011104298755527E-12</v>
      </c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88"/>
      <c r="B180" s="96" t="s">
        <v>437</v>
      </c>
      <c r="C180" s="88">
        <v>6000</v>
      </c>
      <c r="D180" s="88"/>
      <c r="E180" s="88">
        <v>-4000</v>
      </c>
      <c r="F180" s="88">
        <f t="shared" si="10"/>
        <v>2000</v>
      </c>
      <c r="G180" s="5" t="s">
        <v>646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88"/>
      <c r="B181" s="96" t="s">
        <v>438</v>
      </c>
      <c r="C181" s="88">
        <v>16039.124000000005</v>
      </c>
      <c r="D181" s="88"/>
      <c r="E181" s="88">
        <v>-12767</v>
      </c>
      <c r="F181" s="88">
        <f t="shared" si="10"/>
        <v>3272.1240000000053</v>
      </c>
      <c r="G181" s="5" t="s">
        <v>646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88"/>
      <c r="B182" s="96" t="s">
        <v>439</v>
      </c>
      <c r="C182" s="88">
        <v>23219.5</v>
      </c>
      <c r="D182" s="88"/>
      <c r="E182" s="88">
        <v>-11322</v>
      </c>
      <c r="F182" s="88">
        <f t="shared" si="10"/>
        <v>11897.5</v>
      </c>
      <c r="G182" s="5" t="s">
        <v>887</v>
      </c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88"/>
      <c r="B183" s="96" t="s">
        <v>440</v>
      </c>
      <c r="C183" s="88">
        <v>19497.299999999996</v>
      </c>
      <c r="D183" s="88"/>
      <c r="E183" s="88">
        <v>-12998.2</v>
      </c>
      <c r="F183" s="88">
        <f t="shared" si="10"/>
        <v>6499.0999999999949</v>
      </c>
      <c r="G183" s="5" t="s">
        <v>646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88"/>
      <c r="B184" s="96" t="s">
        <v>441</v>
      </c>
      <c r="C184" s="88">
        <v>9965.4</v>
      </c>
      <c r="D184" s="88"/>
      <c r="E184" s="88">
        <v>-6643.6</v>
      </c>
      <c r="F184" s="88">
        <f t="shared" si="10"/>
        <v>3321.7999999999993</v>
      </c>
      <c r="G184" s="5" t="s">
        <v>646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88"/>
      <c r="B185" s="125" t="s">
        <v>462</v>
      </c>
      <c r="C185" s="88">
        <v>15833.300000000001</v>
      </c>
      <c r="D185" s="88"/>
      <c r="E185" s="88">
        <v>-9417</v>
      </c>
      <c r="F185" s="88">
        <f t="shared" si="10"/>
        <v>6416.3000000000011</v>
      </c>
      <c r="G185" s="5" t="s">
        <v>646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88"/>
      <c r="B186" s="125" t="s">
        <v>37</v>
      </c>
      <c r="C186" s="88">
        <v>23126.620000000003</v>
      </c>
      <c r="D186" s="88"/>
      <c r="E186" s="88">
        <v>-15418</v>
      </c>
      <c r="F186" s="88">
        <f t="shared" si="10"/>
        <v>7708.6200000000026</v>
      </c>
      <c r="G186" s="5" t="s">
        <v>646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88"/>
      <c r="B187" s="125" t="s">
        <v>36</v>
      </c>
      <c r="C187" s="88">
        <v>7320</v>
      </c>
      <c r="D187" s="88"/>
      <c r="E187" s="88">
        <v>-2928</v>
      </c>
      <c r="F187" s="88">
        <f t="shared" si="10"/>
        <v>4392</v>
      </c>
      <c r="G187" s="5" t="s">
        <v>646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88"/>
      <c r="B188" s="125" t="s">
        <v>39</v>
      </c>
      <c r="C188" s="88">
        <v>10656.580000000002</v>
      </c>
      <c r="D188" s="88"/>
      <c r="E188" s="88">
        <v>-4263</v>
      </c>
      <c r="F188" s="88">
        <f t="shared" si="10"/>
        <v>6393.5800000000017</v>
      </c>
      <c r="G188" s="5" t="s">
        <v>646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88"/>
      <c r="B189" s="125" t="s">
        <v>295</v>
      </c>
      <c r="C189" s="88">
        <v>5792.8000000000011</v>
      </c>
      <c r="D189" s="88"/>
      <c r="E189" s="88">
        <v>-2317</v>
      </c>
      <c r="F189" s="88">
        <f t="shared" si="10"/>
        <v>3475.8000000000011</v>
      </c>
      <c r="G189" s="5" t="s">
        <v>646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88"/>
      <c r="B190" s="125" t="s">
        <v>296</v>
      </c>
      <c r="C190" s="88">
        <v>15706.420000000004</v>
      </c>
      <c r="D190" s="88"/>
      <c r="E190" s="88">
        <v>-9090</v>
      </c>
      <c r="F190" s="88">
        <f t="shared" si="10"/>
        <v>6616.4200000000037</v>
      </c>
      <c r="G190" s="5" t="s">
        <v>646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88"/>
      <c r="B191" s="197" t="s">
        <v>466</v>
      </c>
      <c r="C191" s="88">
        <v>47726.55</v>
      </c>
      <c r="D191" s="88"/>
      <c r="E191" s="88">
        <v>-20202</v>
      </c>
      <c r="F191" s="88">
        <f t="shared" si="10"/>
        <v>27524.550000000003</v>
      </c>
      <c r="G191" s="5" t="s">
        <v>646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88"/>
      <c r="B192" s="125" t="s">
        <v>467</v>
      </c>
      <c r="C192" s="88">
        <v>8745.15</v>
      </c>
      <c r="D192" s="88"/>
      <c r="E192" s="88">
        <v>-3209</v>
      </c>
      <c r="F192" s="88">
        <f t="shared" si="10"/>
        <v>5536.15</v>
      </c>
      <c r="G192" s="5" t="s">
        <v>646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88"/>
      <c r="B193" s="202" t="s">
        <v>603</v>
      </c>
      <c r="C193" s="88">
        <v>23744.25</v>
      </c>
      <c r="D193" s="88"/>
      <c r="E193" s="88">
        <v>-5276</v>
      </c>
      <c r="F193" s="88">
        <f t="shared" si="10"/>
        <v>18468.25</v>
      </c>
      <c r="G193" s="5" t="s">
        <v>646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88"/>
      <c r="B194" s="202" t="s">
        <v>605</v>
      </c>
      <c r="C194" s="88">
        <v>55515.200000000004</v>
      </c>
      <c r="D194" s="88"/>
      <c r="E194" s="88">
        <f>-4912.21-38322.2</f>
        <v>-43234.409999999996</v>
      </c>
      <c r="F194" s="88">
        <f t="shared" si="10"/>
        <v>12280.790000000008</v>
      </c>
      <c r="G194" s="5" t="s">
        <v>646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88"/>
      <c r="B195" s="130" t="s">
        <v>69</v>
      </c>
      <c r="C195" s="88">
        <v>11563.3</v>
      </c>
      <c r="D195" s="88"/>
      <c r="E195" s="88">
        <v>-7709</v>
      </c>
      <c r="F195" s="88">
        <f t="shared" si="10"/>
        <v>3854.2999999999993</v>
      </c>
      <c r="G195" s="5" t="s">
        <v>646</v>
      </c>
      <c r="H195" s="1"/>
      <c r="I195" s="531">
        <f>+F174+F175+F177+F178+F179+F180+F181+F182+F183+F184+F185+F186+F187+F188+F189+F190+F191+F194+F193+F192+F200</f>
        <v>156959.76800000001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88"/>
      <c r="B196" s="91" t="s">
        <v>297</v>
      </c>
      <c r="C196" s="88">
        <v>320677.97000000003</v>
      </c>
      <c r="D196" s="88"/>
      <c r="E196" s="88">
        <v>-126512.54</v>
      </c>
      <c r="F196" s="88">
        <f>+C196+D196+E196</f>
        <v>194165.43000000005</v>
      </c>
      <c r="G196" s="5" t="s">
        <v>646</v>
      </c>
      <c r="H196" s="1"/>
      <c r="I196" s="532">
        <f>+F201+F199+F198+F197+F196+F173+F172+F171+F202</f>
        <v>753760.02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88"/>
      <c r="B197" s="91" t="s">
        <v>45</v>
      </c>
      <c r="C197" s="88">
        <v>29473.370000000003</v>
      </c>
      <c r="D197" s="88">
        <v>36234</v>
      </c>
      <c r="E197" s="88">
        <v>-15413</v>
      </c>
      <c r="F197" s="88">
        <f t="shared" si="10"/>
        <v>50294.369999999995</v>
      </c>
      <c r="G197" s="5" t="s">
        <v>646</v>
      </c>
      <c r="H197" s="1"/>
      <c r="I197" s="533">
        <f>+F195+F176</f>
        <v>5431.9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88"/>
      <c r="B198" s="91" t="s">
        <v>46</v>
      </c>
      <c r="C198" s="88">
        <v>82121.709999999992</v>
      </c>
      <c r="D198" s="88"/>
      <c r="E198" s="88">
        <v>-23247</v>
      </c>
      <c r="F198" s="88">
        <f t="shared" si="10"/>
        <v>58874.709999999992</v>
      </c>
      <c r="G198" s="5" t="s">
        <v>646</v>
      </c>
      <c r="H198" s="1"/>
      <c r="I198" s="534">
        <f>SUM(I195:I197)</f>
        <v>916151.68800000008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88"/>
      <c r="B199" s="302" t="s">
        <v>41</v>
      </c>
      <c r="C199" s="88">
        <v>370671.62</v>
      </c>
      <c r="D199" s="88">
        <v>73193.899999999994</v>
      </c>
      <c r="E199" s="88">
        <v>-91520</v>
      </c>
      <c r="F199" s="88">
        <f t="shared" si="10"/>
        <v>352345.52</v>
      </c>
      <c r="G199" s="5" t="s">
        <v>646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88"/>
      <c r="B200" s="329" t="s">
        <v>710</v>
      </c>
      <c r="C200" s="88">
        <v>20988</v>
      </c>
      <c r="D200" s="197">
        <f>16865.76+601.94</f>
        <v>17467.699999999997</v>
      </c>
      <c r="E200" s="197">
        <f>-4664-2634.92</f>
        <v>-7298.92</v>
      </c>
      <c r="F200" s="197">
        <f t="shared" si="10"/>
        <v>31156.78</v>
      </c>
      <c r="G200" s="5" t="s">
        <v>646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88"/>
      <c r="B201" s="506" t="s">
        <v>47</v>
      </c>
      <c r="C201" s="88">
        <v>0</v>
      </c>
      <c r="D201" s="88">
        <v>14518</v>
      </c>
      <c r="E201" s="88">
        <v>-1452</v>
      </c>
      <c r="F201" s="88">
        <f t="shared" si="10"/>
        <v>13066</v>
      </c>
      <c r="G201" s="5" t="s">
        <v>646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88"/>
      <c r="B202" s="506" t="s">
        <v>614</v>
      </c>
      <c r="C202" s="88">
        <v>0</v>
      </c>
      <c r="D202" s="88">
        <v>657.69</v>
      </c>
      <c r="E202" s="88">
        <v>0</v>
      </c>
      <c r="F202" s="198">
        <f t="shared" si="10"/>
        <v>657.69</v>
      </c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88"/>
      <c r="B203" s="88"/>
      <c r="C203" s="88"/>
      <c r="D203" s="88"/>
      <c r="E203" s="88"/>
      <c r="F203" s="183">
        <f>SUM(F170:F202)</f>
        <v>916151.68800000008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88"/>
      <c r="B204" s="88"/>
      <c r="C204" s="88"/>
      <c r="D204" s="88"/>
      <c r="E204" s="88"/>
      <c r="F204" s="8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88"/>
      <c r="B205" s="88"/>
      <c r="C205" s="88"/>
      <c r="D205" s="88"/>
      <c r="E205" s="88"/>
      <c r="F205" s="88">
        <v>916151.03</v>
      </c>
      <c r="G205" s="5" t="s">
        <v>32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88"/>
      <c r="B206" s="88"/>
      <c r="C206" s="88"/>
      <c r="D206" s="88"/>
      <c r="E206" s="88">
        <v>-432096</v>
      </c>
      <c r="F206" s="8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88"/>
      <c r="B207" s="88"/>
      <c r="C207" s="88"/>
      <c r="D207" s="88"/>
      <c r="E207" s="88"/>
      <c r="F207" s="88">
        <f>+F205+E206</f>
        <v>484055.03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88"/>
      <c r="B208" s="88"/>
      <c r="C208" s="88"/>
      <c r="D208" s="88"/>
      <c r="E208" s="88"/>
      <c r="F208" s="8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88"/>
      <c r="B209" s="88"/>
      <c r="C209" s="88"/>
      <c r="D209" s="88"/>
      <c r="E209" s="88"/>
      <c r="F209" s="8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88"/>
      <c r="B210" s="88"/>
      <c r="C210" s="88"/>
      <c r="D210" s="88"/>
      <c r="E210" s="88"/>
      <c r="F210" s="8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88"/>
      <c r="B211" s="184" t="s">
        <v>140</v>
      </c>
      <c r="C211" s="88">
        <v>-3.979039320256561E-12</v>
      </c>
      <c r="D211" s="88"/>
      <c r="E211" s="88"/>
      <c r="F211" s="8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88"/>
      <c r="B212" s="91" t="s">
        <v>445</v>
      </c>
      <c r="C212" s="88">
        <v>14709.220000000012</v>
      </c>
      <c r="D212" s="88"/>
      <c r="E212" s="88">
        <v>-12648</v>
      </c>
      <c r="F212" s="88">
        <f>+C212+E212</f>
        <v>2061.2200000000121</v>
      </c>
      <c r="G212" s="5" t="s">
        <v>646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88"/>
      <c r="B213" s="91" t="s">
        <v>446</v>
      </c>
      <c r="C213" s="88">
        <v>23247.999999999993</v>
      </c>
      <c r="D213" s="88"/>
      <c r="E213" s="88">
        <v>-19619</v>
      </c>
      <c r="F213" s="88">
        <f t="shared" ref="F213:F249" si="11">+C213+E213</f>
        <v>3628.9999999999927</v>
      </c>
      <c r="G213" s="5" t="s">
        <v>646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88"/>
      <c r="B214" s="184" t="s">
        <v>443</v>
      </c>
      <c r="C214" s="88">
        <v>46399.080000000016</v>
      </c>
      <c r="D214" s="88"/>
      <c r="E214" s="88">
        <v>-33005</v>
      </c>
      <c r="F214" s="88">
        <f t="shared" si="11"/>
        <v>13394.080000000016</v>
      </c>
      <c r="G214" s="5" t="s">
        <v>646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88"/>
      <c r="B215" s="193" t="s">
        <v>593</v>
      </c>
      <c r="C215" s="88">
        <v>0</v>
      </c>
      <c r="D215" s="88"/>
      <c r="E215" s="88"/>
      <c r="F215" s="88">
        <f t="shared" si="11"/>
        <v>0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88"/>
      <c r="B216" s="95" t="s">
        <v>432</v>
      </c>
      <c r="C216" s="88">
        <v>0</v>
      </c>
      <c r="D216" s="88"/>
      <c r="E216" s="88"/>
      <c r="F216" s="88">
        <f t="shared" si="11"/>
        <v>0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88"/>
      <c r="B217" s="59" t="s">
        <v>433</v>
      </c>
      <c r="C217" s="88">
        <v>1577.6000000000004</v>
      </c>
      <c r="D217" s="88"/>
      <c r="E217" s="88">
        <v>-1577</v>
      </c>
      <c r="F217" s="88">
        <f t="shared" si="11"/>
        <v>0.6000000000003638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88"/>
      <c r="B218" s="193" t="s">
        <v>594</v>
      </c>
      <c r="C218" s="88">
        <v>4.0000000012696546E-3</v>
      </c>
      <c r="D218" s="88"/>
      <c r="E218" s="88"/>
      <c r="F218" s="88">
        <f t="shared" si="11"/>
        <v>4.0000000012696546E-3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88"/>
      <c r="B219" s="193" t="s">
        <v>595</v>
      </c>
      <c r="C219" s="88">
        <v>0</v>
      </c>
      <c r="D219" s="88"/>
      <c r="E219" s="88"/>
      <c r="F219" s="88">
        <f t="shared" si="11"/>
        <v>0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88"/>
      <c r="B220" s="193" t="s">
        <v>596</v>
      </c>
      <c r="C220" s="88">
        <v>2.5011104298755527E-12</v>
      </c>
      <c r="D220" s="88"/>
      <c r="E220" s="88"/>
      <c r="F220" s="88">
        <f t="shared" si="11"/>
        <v>2.5011104298755527E-12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88"/>
      <c r="B221" s="96" t="s">
        <v>437</v>
      </c>
      <c r="C221" s="88">
        <v>2000</v>
      </c>
      <c r="D221" s="88"/>
      <c r="E221" s="88">
        <v>-2000</v>
      </c>
      <c r="F221" s="88">
        <f t="shared" si="11"/>
        <v>0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88"/>
      <c r="B222" s="96" t="s">
        <v>438</v>
      </c>
      <c r="C222" s="88">
        <v>3272.1240000000053</v>
      </c>
      <c r="D222" s="88"/>
      <c r="E222" s="88">
        <v>-3272</v>
      </c>
      <c r="F222" s="88">
        <f t="shared" si="11"/>
        <v>0.12400000000525324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88"/>
      <c r="B223" s="96" t="s">
        <v>439</v>
      </c>
      <c r="C223" s="88">
        <v>11897.5</v>
      </c>
      <c r="D223" s="88"/>
      <c r="E223" s="88">
        <v>-7655</v>
      </c>
      <c r="F223" s="88">
        <f t="shared" si="11"/>
        <v>4242.5</v>
      </c>
      <c r="G223" s="5" t="s">
        <v>646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88"/>
      <c r="B224" s="96" t="s">
        <v>440</v>
      </c>
      <c r="C224" s="88">
        <v>6499.0999999999949</v>
      </c>
      <c r="D224" s="88"/>
      <c r="E224" s="88">
        <v>-6499</v>
      </c>
      <c r="F224" s="88">
        <f t="shared" si="11"/>
        <v>9.999999999490683E-2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88"/>
      <c r="B225" s="96" t="s">
        <v>441</v>
      </c>
      <c r="C225" s="88">
        <v>3321.7999999999993</v>
      </c>
      <c r="D225" s="88"/>
      <c r="E225" s="88">
        <v>-3322</v>
      </c>
      <c r="F225" s="88">
        <f t="shared" si="11"/>
        <v>-0.2000000000007276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88"/>
      <c r="B226" s="125" t="s">
        <v>462</v>
      </c>
      <c r="C226" s="88">
        <v>6416.3000000000011</v>
      </c>
      <c r="D226" s="88"/>
      <c r="E226" s="88">
        <v>-5562</v>
      </c>
      <c r="F226" s="88">
        <f t="shared" si="11"/>
        <v>854.30000000000109</v>
      </c>
      <c r="G226" s="5" t="s">
        <v>646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88"/>
      <c r="B227" s="125" t="s">
        <v>37</v>
      </c>
      <c r="C227" s="88">
        <v>7708.6200000000026</v>
      </c>
      <c r="D227" s="88"/>
      <c r="E227" s="88">
        <v>-7709</v>
      </c>
      <c r="F227" s="88">
        <f t="shared" si="11"/>
        <v>-0.37999999999738066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88"/>
      <c r="B228" s="125" t="s">
        <v>36</v>
      </c>
      <c r="C228" s="88">
        <v>4392</v>
      </c>
      <c r="D228" s="88"/>
      <c r="E228" s="88">
        <v>-2928</v>
      </c>
      <c r="F228" s="88">
        <f t="shared" si="11"/>
        <v>1464</v>
      </c>
      <c r="G228" s="5" t="s">
        <v>646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88"/>
      <c r="B229" s="125" t="s">
        <v>39</v>
      </c>
      <c r="C229" s="88">
        <v>6393.5800000000017</v>
      </c>
      <c r="D229" s="88"/>
      <c r="E229" s="88">
        <v>-4263</v>
      </c>
      <c r="F229" s="88">
        <f t="shared" si="11"/>
        <v>2130.5800000000017</v>
      </c>
      <c r="G229" s="5" t="s">
        <v>646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88"/>
      <c r="B230" s="125" t="s">
        <v>295</v>
      </c>
      <c r="C230" s="88">
        <v>3475.8000000000011</v>
      </c>
      <c r="D230" s="88"/>
      <c r="E230" s="88">
        <v>-2317</v>
      </c>
      <c r="F230" s="88">
        <f t="shared" si="11"/>
        <v>1158.8000000000011</v>
      </c>
      <c r="G230" s="5" t="s">
        <v>646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88"/>
      <c r="B231" s="125" t="s">
        <v>296</v>
      </c>
      <c r="C231" s="88">
        <v>6616.4200000000037</v>
      </c>
      <c r="D231" s="88"/>
      <c r="E231" s="88">
        <v>-5235</v>
      </c>
      <c r="F231" s="88">
        <f t="shared" si="11"/>
        <v>1381.4200000000037</v>
      </c>
      <c r="G231" s="5" t="s">
        <v>646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88"/>
      <c r="B232" s="197" t="s">
        <v>466</v>
      </c>
      <c r="C232" s="88">
        <v>27524.550000000003</v>
      </c>
      <c r="D232" s="88"/>
      <c r="E232" s="88">
        <v>-16138</v>
      </c>
      <c r="F232" s="88">
        <f t="shared" si="11"/>
        <v>11386.550000000003</v>
      </c>
      <c r="G232" s="5" t="s">
        <v>646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88"/>
      <c r="B233" s="125" t="s">
        <v>467</v>
      </c>
      <c r="C233" s="88">
        <v>5536.15</v>
      </c>
      <c r="D233" s="88"/>
      <c r="E233" s="88">
        <v>-3208</v>
      </c>
      <c r="F233" s="88">
        <f t="shared" si="11"/>
        <v>2328.1499999999996</v>
      </c>
      <c r="G233" s="5" t="s">
        <v>646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88"/>
      <c r="B234" s="202" t="s">
        <v>603</v>
      </c>
      <c r="C234" s="88">
        <v>18468.25</v>
      </c>
      <c r="D234" s="88"/>
      <c r="E234" s="198">
        <v>-5276</v>
      </c>
      <c r="F234" s="699">
        <f t="shared" si="11"/>
        <v>13192.25</v>
      </c>
      <c r="G234" s="5" t="s">
        <v>646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88"/>
      <c r="B235" s="202" t="s">
        <v>605</v>
      </c>
      <c r="C235" s="88">
        <v>12280.790000000008</v>
      </c>
      <c r="D235" s="88"/>
      <c r="E235" s="88">
        <v>-4912</v>
      </c>
      <c r="F235" s="699">
        <f t="shared" si="11"/>
        <v>7368.7900000000081</v>
      </c>
      <c r="G235" s="5" t="s">
        <v>646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88"/>
      <c r="B236" s="130" t="s">
        <v>69</v>
      </c>
      <c r="C236" s="88">
        <v>3854.2999999999993</v>
      </c>
      <c r="D236" s="88"/>
      <c r="E236" s="198">
        <v>-3854</v>
      </c>
      <c r="F236" s="88">
        <f t="shared" si="11"/>
        <v>0.2999999999992724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88"/>
      <c r="B237" s="91" t="s">
        <v>297</v>
      </c>
      <c r="C237" s="88">
        <v>194165.43000000005</v>
      </c>
      <c r="D237" s="88"/>
      <c r="E237" s="88">
        <v>-126513</v>
      </c>
      <c r="F237" s="88">
        <f t="shared" si="11"/>
        <v>67652.430000000051</v>
      </c>
      <c r="G237" s="5" t="s">
        <v>646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88"/>
      <c r="B238" s="91" t="s">
        <v>45</v>
      </c>
      <c r="C238" s="88">
        <v>50294.369999999995</v>
      </c>
      <c r="D238" s="88"/>
      <c r="E238" s="88">
        <v>-19036</v>
      </c>
      <c r="F238" s="88">
        <f t="shared" si="11"/>
        <v>31258.369999999995</v>
      </c>
      <c r="G238" s="5" t="s">
        <v>646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88"/>
      <c r="B239" s="91" t="s">
        <v>46</v>
      </c>
      <c r="C239" s="88">
        <v>58874.709999999992</v>
      </c>
      <c r="D239" s="88"/>
      <c r="E239" s="88">
        <v>-23247</v>
      </c>
      <c r="F239" s="88">
        <f t="shared" si="11"/>
        <v>35627.709999999992</v>
      </c>
      <c r="G239" s="5" t="s">
        <v>646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88"/>
      <c r="B240" s="302" t="s">
        <v>41</v>
      </c>
      <c r="C240" s="88">
        <v>352345.52</v>
      </c>
      <c r="D240" s="88"/>
      <c r="E240" s="88">
        <v>-100668</v>
      </c>
      <c r="F240" s="88">
        <f t="shared" si="11"/>
        <v>251677.52000000002</v>
      </c>
      <c r="G240" s="5" t="s">
        <v>646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88"/>
      <c r="B241" s="329" t="s">
        <v>710</v>
      </c>
      <c r="C241" s="88">
        <v>31156.78</v>
      </c>
      <c r="D241" s="88"/>
      <c r="E241" s="88">
        <f>-8730</f>
        <v>-8730</v>
      </c>
      <c r="F241" s="701">
        <f t="shared" si="11"/>
        <v>22426.78</v>
      </c>
      <c r="G241" s="5" t="s">
        <v>646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88"/>
      <c r="B242" s="506" t="s">
        <v>47</v>
      </c>
      <c r="C242" s="88">
        <v>13066</v>
      </c>
      <c r="D242" s="88"/>
      <c r="E242" s="88">
        <v>-2904</v>
      </c>
      <c r="F242" s="699">
        <f t="shared" si="11"/>
        <v>10162</v>
      </c>
      <c r="G242" s="5" t="s">
        <v>646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" x14ac:dyDescent="0.2">
      <c r="A243" s="88"/>
      <c r="B243" s="506" t="s">
        <v>614</v>
      </c>
      <c r="C243" s="88">
        <v>657.69</v>
      </c>
      <c r="D243" s="88"/>
      <c r="E243" s="88">
        <v>-657.69</v>
      </c>
      <c r="F243" s="88">
        <f t="shared" si="11"/>
        <v>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" x14ac:dyDescent="0.2">
      <c r="A244" s="88"/>
      <c r="B244" s="506" t="s">
        <v>755</v>
      </c>
      <c r="C244" s="88">
        <v>8574</v>
      </c>
      <c r="D244" s="88"/>
      <c r="E244" s="88">
        <v>0</v>
      </c>
      <c r="F244" s="699">
        <f>+C244+E244</f>
        <v>8574</v>
      </c>
      <c r="G244" s="5" t="s">
        <v>990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" x14ac:dyDescent="0.2">
      <c r="A245" s="88"/>
      <c r="B245" s="202" t="s">
        <v>977</v>
      </c>
      <c r="C245" s="88">
        <v>21751</v>
      </c>
      <c r="D245" s="88"/>
      <c r="E245" s="88">
        <v>0</v>
      </c>
      <c r="F245" s="699">
        <f t="shared" si="11"/>
        <v>21751</v>
      </c>
      <c r="G245" s="5" t="s">
        <v>646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" x14ac:dyDescent="0.2">
      <c r="A246" s="88"/>
      <c r="B246" s="202" t="s">
        <v>986</v>
      </c>
      <c r="C246" s="88">
        <v>202614</v>
      </c>
      <c r="D246" s="88"/>
      <c r="E246" s="88">
        <v>0</v>
      </c>
      <c r="F246" s="88">
        <f t="shared" si="11"/>
        <v>202614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" x14ac:dyDescent="0.2">
      <c r="A247" s="88"/>
      <c r="B247" s="202" t="s">
        <v>988</v>
      </c>
      <c r="C247" s="88">
        <v>592094</v>
      </c>
      <c r="D247" s="88"/>
      <c r="E247" s="88">
        <v>0</v>
      </c>
      <c r="F247" s="88">
        <f t="shared" si="11"/>
        <v>592094</v>
      </c>
      <c r="G247" s="5" t="s">
        <v>991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" x14ac:dyDescent="0.2">
      <c r="A248" s="88"/>
      <c r="B248" s="202" t="s">
        <v>989</v>
      </c>
      <c r="C248" s="88">
        <v>28916.75</v>
      </c>
      <c r="D248" s="88"/>
      <c r="E248" s="88">
        <v>0</v>
      </c>
      <c r="F248" s="88">
        <f t="shared" si="11"/>
        <v>28916.75</v>
      </c>
      <c r="G248" s="5" t="s">
        <v>991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" x14ac:dyDescent="0.2">
      <c r="A249" s="88"/>
      <c r="B249" s="700" t="s">
        <v>987</v>
      </c>
      <c r="C249" s="88">
        <v>11354</v>
      </c>
      <c r="D249" s="88"/>
      <c r="E249" s="88">
        <v>0</v>
      </c>
      <c r="F249" s="88">
        <f t="shared" si="11"/>
        <v>11354</v>
      </c>
      <c r="G249" s="5" t="s">
        <v>991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88"/>
      <c r="B250" s="198" t="s">
        <v>983</v>
      </c>
      <c r="C250" s="183">
        <f>SUM(C211:C249)</f>
        <v>1781455.4380000001</v>
      </c>
      <c r="D250" s="183">
        <f t="shared" ref="D250" si="12">SUM(D211:D244)</f>
        <v>0</v>
      </c>
      <c r="E250" s="183">
        <f>SUM(E211:E244)</f>
        <v>-432754.69</v>
      </c>
      <c r="F250" s="88">
        <f>+C250+E250</f>
        <v>1348700.7480000001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88"/>
      <c r="B251" s="88"/>
      <c r="C251" s="88"/>
      <c r="D251" s="88"/>
      <c r="E251" s="88"/>
      <c r="F251" s="8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88"/>
      <c r="B252" s="88"/>
      <c r="C252" s="88"/>
      <c r="D252" s="88"/>
      <c r="E252" s="88"/>
      <c r="F252" s="8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88"/>
      <c r="B253" s="88"/>
      <c r="C253" s="88"/>
      <c r="D253" s="88"/>
      <c r="E253" s="88"/>
      <c r="F253" s="8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88"/>
      <c r="B254" s="88"/>
      <c r="C254" s="88"/>
      <c r="D254" s="702">
        <v>89685</v>
      </c>
      <c r="E254" s="88"/>
      <c r="F254" s="702">
        <v>88829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thickBot="1" x14ac:dyDescent="0.25">
      <c r="A255" s="88"/>
      <c r="B255" s="88"/>
      <c r="C255" s="88"/>
      <c r="D255" s="698">
        <v>424036</v>
      </c>
      <c r="E255" s="88"/>
      <c r="F255" s="698">
        <v>424036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thickBot="1" x14ac:dyDescent="0.25">
      <c r="A256" s="88"/>
      <c r="B256" s="88"/>
      <c r="C256" s="88"/>
      <c r="D256" s="698">
        <v>632365</v>
      </c>
      <c r="E256" s="88"/>
      <c r="F256" s="698">
        <v>632636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thickBot="1" x14ac:dyDescent="0.25">
      <c r="A257" s="88"/>
      <c r="B257" s="88"/>
      <c r="C257" s="88"/>
      <c r="D257" s="698">
        <v>202614</v>
      </c>
      <c r="E257" s="88"/>
      <c r="F257" s="698">
        <v>202614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thickBot="1" x14ac:dyDescent="0.25">
      <c r="A258" s="88"/>
      <c r="B258" s="88"/>
      <c r="C258" s="88"/>
      <c r="D258" s="88">
        <f>SUM(D254:D257)</f>
        <v>1348700</v>
      </c>
      <c r="E258" s="88"/>
      <c r="F258" s="703">
        <f>SUM(F254:F257)</f>
        <v>1348115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88"/>
      <c r="B259" s="88"/>
      <c r="C259" s="88"/>
      <c r="E259" s="88"/>
      <c r="F259" s="8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88"/>
      <c r="B260" s="88"/>
      <c r="C260" s="88"/>
      <c r="D260" s="88"/>
      <c r="E260" s="88"/>
      <c r="F260" s="8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88"/>
      <c r="B261" s="88"/>
      <c r="C261" s="88"/>
      <c r="D261" s="88"/>
      <c r="E261" s="88"/>
      <c r="F261" s="8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thickBot="1" x14ac:dyDescent="0.25">
      <c r="A262" s="88"/>
      <c r="B262" s="88"/>
      <c r="C262" s="88"/>
      <c r="D262" s="88"/>
      <c r="E262" s="88"/>
      <c r="F262" s="8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thickBot="1" x14ac:dyDescent="0.25">
      <c r="A263" s="88"/>
      <c r="B263" s="88"/>
      <c r="C263" s="88"/>
      <c r="D263" s="704" t="s">
        <v>298</v>
      </c>
      <c r="E263" s="705" t="s">
        <v>992</v>
      </c>
      <c r="F263" s="705" t="s">
        <v>910</v>
      </c>
      <c r="G263" s="705" t="s">
        <v>142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thickBot="1" x14ac:dyDescent="0.25">
      <c r="A264" s="88"/>
      <c r="B264" s="88"/>
      <c r="C264" s="88"/>
      <c r="D264" s="706" t="s">
        <v>299</v>
      </c>
      <c r="E264" s="693">
        <v>128904</v>
      </c>
      <c r="F264" s="693">
        <v>83575</v>
      </c>
      <c r="G264" s="693">
        <f>+E264-F264</f>
        <v>45329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thickBot="1" x14ac:dyDescent="0.25">
      <c r="A265" s="88"/>
      <c r="B265" s="88"/>
      <c r="C265" s="88"/>
      <c r="D265" s="706" t="s">
        <v>993</v>
      </c>
      <c r="E265" s="693">
        <v>2054989</v>
      </c>
      <c r="F265" s="693">
        <v>2304322</v>
      </c>
      <c r="G265" s="693">
        <f t="shared" ref="G265:G269" si="13">+E265-F265</f>
        <v>-249333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thickBot="1" x14ac:dyDescent="0.25">
      <c r="A266" s="88"/>
      <c r="B266" s="88"/>
      <c r="C266" s="88"/>
      <c r="D266" s="706" t="s">
        <v>301</v>
      </c>
      <c r="E266" s="693">
        <v>1174510</v>
      </c>
      <c r="F266" s="693">
        <v>1605471</v>
      </c>
      <c r="G266" s="693">
        <f t="shared" si="13"/>
        <v>-430961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thickBot="1" x14ac:dyDescent="0.25">
      <c r="A267" s="88"/>
      <c r="B267" s="88"/>
      <c r="C267" s="88"/>
      <c r="D267" s="706" t="s">
        <v>302</v>
      </c>
      <c r="E267" s="693">
        <v>436071</v>
      </c>
      <c r="F267" s="693">
        <v>507703</v>
      </c>
      <c r="G267" s="693">
        <f t="shared" si="13"/>
        <v>-71632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thickBot="1" x14ac:dyDescent="0.25">
      <c r="A268" s="88"/>
      <c r="B268" s="88"/>
      <c r="C268" s="88"/>
      <c r="D268" s="706" t="s">
        <v>303</v>
      </c>
      <c r="E268" s="693">
        <v>989</v>
      </c>
      <c r="F268" s="693">
        <v>5368</v>
      </c>
      <c r="G268" s="693">
        <f t="shared" si="13"/>
        <v>-4379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thickBot="1" x14ac:dyDescent="0.25">
      <c r="A269" s="88"/>
      <c r="B269" s="88"/>
      <c r="C269" s="88"/>
      <c r="D269" s="706" t="s">
        <v>994</v>
      </c>
      <c r="E269" s="693">
        <v>122533</v>
      </c>
      <c r="F269" s="693">
        <v>80078</v>
      </c>
      <c r="G269" s="693">
        <f t="shared" si="13"/>
        <v>42455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thickBot="1" x14ac:dyDescent="0.25">
      <c r="A270" s="88"/>
      <c r="B270" s="88"/>
      <c r="C270" s="88"/>
      <c r="D270" s="707" t="s">
        <v>196</v>
      </c>
      <c r="E270" s="708">
        <f t="shared" ref="E270:F270" si="14">SUM(E264:E269)</f>
        <v>3917996</v>
      </c>
      <c r="F270" s="708">
        <f t="shared" si="14"/>
        <v>4586517</v>
      </c>
      <c r="G270" s="708">
        <f>SUM(G264:G269)</f>
        <v>-668521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88"/>
      <c r="B271" s="88"/>
      <c r="C271" s="88"/>
      <c r="D271" s="88"/>
      <c r="E271" s="88"/>
      <c r="F271" s="8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88"/>
      <c r="B272" s="88"/>
      <c r="C272" s="88"/>
      <c r="D272" s="88"/>
      <c r="E272" s="88"/>
      <c r="F272" s="8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88"/>
      <c r="B273" s="88"/>
      <c r="C273" s="88"/>
      <c r="D273" s="88"/>
      <c r="E273" s="88"/>
      <c r="F273" s="8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88"/>
      <c r="B274" s="88"/>
      <c r="C274" s="88"/>
      <c r="D274" s="88"/>
      <c r="E274" s="88"/>
      <c r="F274" s="8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88"/>
      <c r="B275" s="88"/>
      <c r="C275" s="198" t="s">
        <v>1183</v>
      </c>
      <c r="D275" s="88"/>
      <c r="E275" s="198" t="s">
        <v>1182</v>
      </c>
      <c r="F275" s="8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thickBot="1" x14ac:dyDescent="0.25">
      <c r="A276" s="88"/>
      <c r="B276" s="88"/>
      <c r="C276" s="88"/>
      <c r="D276" s="88"/>
      <c r="E276" s="88"/>
      <c r="F276" s="8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thickBot="1" x14ac:dyDescent="0.25">
      <c r="A277" s="88"/>
      <c r="B277" s="88"/>
      <c r="C277" s="682">
        <v>0</v>
      </c>
      <c r="D277" s="88"/>
      <c r="E277" s="682">
        <v>0</v>
      </c>
      <c r="F277" s="8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thickBot="1" x14ac:dyDescent="0.25">
      <c r="A278" s="88"/>
      <c r="B278" s="88"/>
      <c r="C278" s="685">
        <v>3629</v>
      </c>
      <c r="D278" s="88"/>
      <c r="E278" s="685">
        <v>19619</v>
      </c>
      <c r="F278" s="8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thickBot="1" x14ac:dyDescent="0.25">
      <c r="A279" s="88"/>
      <c r="B279" s="88"/>
      <c r="C279" s="685">
        <v>2061</v>
      </c>
      <c r="D279" s="88"/>
      <c r="E279" s="685">
        <v>12648</v>
      </c>
      <c r="F279" s="8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thickBot="1" x14ac:dyDescent="0.25">
      <c r="A280" s="88"/>
      <c r="B280" s="88"/>
      <c r="C280" s="685">
        <v>13394</v>
      </c>
      <c r="D280" s="88"/>
      <c r="E280" s="685">
        <v>33005</v>
      </c>
      <c r="F280" s="8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thickBot="1" x14ac:dyDescent="0.25">
      <c r="A281" s="88"/>
      <c r="B281" s="88"/>
      <c r="C281" s="685">
        <v>0</v>
      </c>
      <c r="D281" s="88"/>
      <c r="E281" s="685">
        <v>0</v>
      </c>
      <c r="F281" s="8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thickBot="1" x14ac:dyDescent="0.25">
      <c r="A282" s="88"/>
      <c r="B282" s="88"/>
      <c r="C282" s="685">
        <v>0</v>
      </c>
      <c r="D282" s="88"/>
      <c r="E282" s="685">
        <v>0</v>
      </c>
      <c r="F282" s="8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thickBot="1" x14ac:dyDescent="0.25">
      <c r="A283" s="88"/>
      <c r="B283" s="88"/>
      <c r="C283" s="685">
        <v>0</v>
      </c>
      <c r="D283" s="88"/>
      <c r="E283" s="685">
        <v>0</v>
      </c>
      <c r="F283" s="8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thickBot="1" x14ac:dyDescent="0.25">
      <c r="A284" s="88"/>
      <c r="B284" s="88"/>
      <c r="C284" s="685">
        <v>0</v>
      </c>
      <c r="D284" s="88"/>
      <c r="E284" s="685">
        <v>1578</v>
      </c>
      <c r="F284" s="8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thickBot="1" x14ac:dyDescent="0.25">
      <c r="A285" s="88"/>
      <c r="B285" s="88"/>
      <c r="C285" s="685">
        <v>0</v>
      </c>
      <c r="D285" s="88"/>
      <c r="E285" s="685">
        <v>0</v>
      </c>
      <c r="F285" s="8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thickBot="1" x14ac:dyDescent="0.25">
      <c r="A286" s="88"/>
      <c r="B286" s="88"/>
      <c r="C286" s="685">
        <v>0</v>
      </c>
      <c r="D286" s="88"/>
      <c r="E286" s="685">
        <v>0</v>
      </c>
      <c r="F286" s="8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thickBot="1" x14ac:dyDescent="0.25">
      <c r="A287" s="88"/>
      <c r="B287" s="88"/>
      <c r="C287" s="685">
        <v>0</v>
      </c>
      <c r="D287" s="88"/>
      <c r="E287" s="685">
        <v>3321</v>
      </c>
      <c r="F287" s="8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thickBot="1" x14ac:dyDescent="0.25">
      <c r="A288" s="88"/>
      <c r="B288" s="88"/>
      <c r="C288" s="685">
        <v>0</v>
      </c>
      <c r="D288" s="88"/>
      <c r="E288" s="685">
        <v>6499</v>
      </c>
      <c r="F288" s="8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thickBot="1" x14ac:dyDescent="0.25">
      <c r="A289" s="88"/>
      <c r="B289" s="88"/>
      <c r="C289" s="992">
        <v>4243</v>
      </c>
      <c r="D289" s="88"/>
      <c r="E289" s="685">
        <v>7655</v>
      </c>
      <c r="F289" s="8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thickBot="1" x14ac:dyDescent="0.25">
      <c r="A290" s="88"/>
      <c r="B290" s="88"/>
      <c r="C290" s="685">
        <v>0</v>
      </c>
      <c r="D290" s="88"/>
      <c r="E290" s="992">
        <v>3272</v>
      </c>
      <c r="F290" s="8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thickBot="1" x14ac:dyDescent="0.25">
      <c r="A291" s="88"/>
      <c r="B291" s="88"/>
      <c r="C291" s="685">
        <v>0</v>
      </c>
      <c r="D291" s="88"/>
      <c r="E291" s="685">
        <v>2000</v>
      </c>
      <c r="F291" s="8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thickBot="1" x14ac:dyDescent="0.25">
      <c r="A292" s="88"/>
      <c r="B292" s="88"/>
      <c r="C292" s="685">
        <v>67653</v>
      </c>
      <c r="D292" s="88"/>
      <c r="E292" s="685">
        <v>126513</v>
      </c>
      <c r="F292" s="8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thickBot="1" x14ac:dyDescent="0.25">
      <c r="A293" s="88"/>
      <c r="B293" s="88"/>
      <c r="C293" s="685">
        <v>856</v>
      </c>
      <c r="D293" s="88"/>
      <c r="E293" s="685">
        <v>5562</v>
      </c>
      <c r="F293" s="8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thickBot="1" x14ac:dyDescent="0.25">
      <c r="A294" s="88"/>
      <c r="B294" s="88"/>
      <c r="C294" s="685">
        <v>1382</v>
      </c>
      <c r="D294" s="88"/>
      <c r="E294" s="685">
        <v>5235</v>
      </c>
      <c r="F294" s="8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thickBot="1" x14ac:dyDescent="0.25">
      <c r="A295" s="88"/>
      <c r="B295" s="88"/>
      <c r="C295" s="685">
        <v>0</v>
      </c>
      <c r="D295" s="88"/>
      <c r="E295" s="685">
        <v>3855</v>
      </c>
      <c r="F295" s="8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thickBot="1" x14ac:dyDescent="0.25">
      <c r="A296" s="88"/>
      <c r="B296" s="88"/>
      <c r="C296" s="685">
        <v>0</v>
      </c>
      <c r="D296" s="88"/>
      <c r="E296" s="685">
        <v>7709</v>
      </c>
      <c r="F296" s="8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thickBot="1" x14ac:dyDescent="0.25">
      <c r="A297" s="88"/>
      <c r="B297" s="88"/>
      <c r="C297" s="685">
        <v>2330</v>
      </c>
      <c r="D297" s="88"/>
      <c r="E297" s="685">
        <v>3208</v>
      </c>
      <c r="F297" s="8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thickBot="1" x14ac:dyDescent="0.25">
      <c r="A298" s="88"/>
      <c r="B298" s="88"/>
      <c r="C298" s="685">
        <v>1464</v>
      </c>
      <c r="D298" s="88"/>
      <c r="E298" s="685">
        <v>2928</v>
      </c>
      <c r="F298" s="8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thickBot="1" x14ac:dyDescent="0.25">
      <c r="A299" s="88"/>
      <c r="B299" s="88"/>
      <c r="C299" s="685">
        <v>1160</v>
      </c>
      <c r="D299" s="88"/>
      <c r="E299" s="685">
        <v>2317</v>
      </c>
      <c r="F299" s="8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thickBot="1" x14ac:dyDescent="0.25">
      <c r="A300" s="88"/>
      <c r="B300" s="88"/>
      <c r="C300" s="685">
        <v>2131</v>
      </c>
      <c r="D300" s="88"/>
      <c r="E300" s="685">
        <v>4263</v>
      </c>
      <c r="F300" s="8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thickBot="1" x14ac:dyDescent="0.25">
      <c r="A301" s="88"/>
      <c r="B301" s="88"/>
      <c r="C301" s="685">
        <v>11386</v>
      </c>
      <c r="D301" s="88"/>
      <c r="E301" s="685">
        <v>16138</v>
      </c>
      <c r="F301" s="8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thickBot="1" x14ac:dyDescent="0.25">
      <c r="A302" s="88"/>
      <c r="B302" s="88"/>
      <c r="C302" s="685">
        <v>31258</v>
      </c>
      <c r="D302" s="88"/>
      <c r="E302" s="685">
        <v>19036</v>
      </c>
      <c r="F302" s="8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thickBot="1" x14ac:dyDescent="0.25">
      <c r="A303" s="88"/>
      <c r="B303" s="88"/>
      <c r="C303" s="685">
        <v>35628</v>
      </c>
      <c r="D303" s="88"/>
      <c r="E303" s="685">
        <v>23247</v>
      </c>
      <c r="F303" s="8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thickBot="1" x14ac:dyDescent="0.25">
      <c r="A304" s="88"/>
      <c r="B304" s="88"/>
      <c r="C304" s="685">
        <v>251671</v>
      </c>
      <c r="D304" s="88"/>
      <c r="E304" s="685">
        <v>100668</v>
      </c>
      <c r="F304" s="8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thickBot="1" x14ac:dyDescent="0.25">
      <c r="A305" s="88"/>
      <c r="B305" s="88"/>
      <c r="C305" s="685">
        <v>7369</v>
      </c>
      <c r="D305" s="88"/>
      <c r="E305" s="685">
        <v>4912</v>
      </c>
      <c r="F305" s="8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thickBot="1" x14ac:dyDescent="0.25">
      <c r="A306" s="88"/>
      <c r="B306" s="88"/>
      <c r="C306" s="685">
        <v>13192</v>
      </c>
      <c r="D306" s="88"/>
      <c r="E306" s="685">
        <v>5276</v>
      </c>
      <c r="F306" s="8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thickBot="1" x14ac:dyDescent="0.25">
      <c r="A307" s="88"/>
      <c r="B307" s="88"/>
      <c r="C307" s="992">
        <v>22429</v>
      </c>
      <c r="D307" s="88"/>
      <c r="E307" s="685">
        <v>8730</v>
      </c>
      <c r="F307" s="8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thickBot="1" x14ac:dyDescent="0.25">
      <c r="A308" s="88"/>
      <c r="B308" s="88"/>
      <c r="C308" s="685">
        <v>10162</v>
      </c>
      <c r="D308" s="88"/>
      <c r="E308" s="685">
        <v>2904</v>
      </c>
      <c r="F308" s="8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thickBot="1" x14ac:dyDescent="0.25">
      <c r="A309" s="88"/>
      <c r="B309" s="88"/>
      <c r="C309" s="685">
        <v>8573</v>
      </c>
      <c r="D309" s="88"/>
      <c r="E309" s="685">
        <v>953</v>
      </c>
      <c r="F309" s="8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thickBot="1" x14ac:dyDescent="0.25">
      <c r="A310" s="88"/>
      <c r="B310" s="88"/>
      <c r="C310" s="685">
        <v>21751</v>
      </c>
      <c r="D310" s="88"/>
      <c r="E310" s="685">
        <v>2435</v>
      </c>
      <c r="F310" s="8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88"/>
      <c r="B311" s="88"/>
      <c r="C311" s="88">
        <f>SUM(C277:C310)</f>
        <v>513722</v>
      </c>
      <c r="D311" s="88"/>
      <c r="E311" s="88">
        <f>SUM(E277:E310)</f>
        <v>435486</v>
      </c>
      <c r="F311" s="8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88"/>
      <c r="B312" s="88"/>
      <c r="C312" s="88"/>
      <c r="D312" s="88"/>
      <c r="E312" s="88"/>
      <c r="F312" s="8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88"/>
      <c r="B313" s="88"/>
      <c r="C313" s="88"/>
      <c r="D313" s="88"/>
      <c r="E313" s="88"/>
      <c r="F313" s="8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88"/>
      <c r="B314" s="88"/>
      <c r="C314" s="88"/>
      <c r="D314" s="88"/>
      <c r="E314" s="88"/>
      <c r="F314" s="8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88"/>
      <c r="B315" s="88"/>
      <c r="C315" s="88"/>
      <c r="D315" s="88"/>
      <c r="E315" s="88"/>
      <c r="F315" s="8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88"/>
      <c r="B316" s="88"/>
      <c r="C316" s="88"/>
      <c r="D316" s="88"/>
      <c r="E316" s="88"/>
      <c r="F316" s="8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88"/>
      <c r="B317" s="88"/>
      <c r="C317" s="88"/>
      <c r="D317" s="88"/>
      <c r="E317" s="88"/>
      <c r="F317" s="8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88"/>
      <c r="B318" s="88"/>
      <c r="C318" s="88"/>
      <c r="D318" s="88"/>
      <c r="E318" s="88"/>
      <c r="F318" s="8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88"/>
      <c r="B319" s="88"/>
      <c r="C319" s="88"/>
      <c r="D319" s="88"/>
      <c r="E319" s="88"/>
      <c r="F319" s="8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88"/>
      <c r="B320" s="88"/>
      <c r="C320" s="88"/>
      <c r="D320" s="88"/>
      <c r="E320" s="88"/>
      <c r="F320" s="8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88"/>
      <c r="B321" s="88"/>
      <c r="C321" s="88"/>
      <c r="D321" s="88"/>
      <c r="E321" s="88"/>
      <c r="F321" s="8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88"/>
      <c r="B322" s="88"/>
      <c r="C322" s="88"/>
      <c r="D322" s="88"/>
      <c r="E322" s="88"/>
      <c r="F322" s="8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88"/>
      <c r="B323" s="88"/>
      <c r="C323" s="88"/>
      <c r="D323" s="88"/>
      <c r="E323" s="88"/>
      <c r="F323" s="8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88"/>
      <c r="B324" s="88"/>
      <c r="C324" s="88"/>
      <c r="D324" s="88"/>
      <c r="E324" s="88"/>
      <c r="F324" s="8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88"/>
      <c r="B325" s="88"/>
      <c r="C325" s="88"/>
      <c r="D325" s="88"/>
      <c r="E325" s="88"/>
      <c r="F325" s="8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88"/>
      <c r="B326" s="88"/>
      <c r="C326" s="88"/>
      <c r="D326" s="88"/>
      <c r="E326" s="88"/>
      <c r="F326" s="8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88"/>
      <c r="B327" s="88"/>
      <c r="C327" s="88"/>
      <c r="D327" s="88"/>
      <c r="E327" s="88"/>
      <c r="F327" s="8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88"/>
      <c r="B328" s="88"/>
      <c r="C328" s="88"/>
      <c r="D328" s="88"/>
      <c r="E328" s="88"/>
      <c r="F328" s="8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88"/>
      <c r="B329" s="88"/>
      <c r="C329" s="88"/>
      <c r="D329" s="88"/>
      <c r="E329" s="88"/>
      <c r="F329" s="8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88"/>
      <c r="B330" s="88"/>
      <c r="C330" s="88"/>
      <c r="D330" s="88"/>
      <c r="E330" s="88"/>
      <c r="F330" s="8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88"/>
      <c r="B331" s="88"/>
      <c r="C331" s="88"/>
      <c r="D331" s="88"/>
      <c r="E331" s="88"/>
      <c r="F331" s="8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88"/>
      <c r="B332" s="88"/>
      <c r="C332" s="88"/>
      <c r="D332" s="88"/>
      <c r="E332" s="88"/>
      <c r="F332" s="8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88"/>
      <c r="B333" s="88"/>
      <c r="C333" s="88"/>
      <c r="D333" s="88"/>
      <c r="E333" s="88"/>
      <c r="F333" s="8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88"/>
      <c r="B334" s="88"/>
      <c r="C334" s="88"/>
      <c r="D334" s="88"/>
      <c r="E334" s="88"/>
      <c r="F334" s="8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88"/>
      <c r="B335" s="88"/>
      <c r="C335" s="88"/>
      <c r="D335" s="88"/>
      <c r="E335" s="88"/>
      <c r="F335" s="8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88"/>
      <c r="B336" s="88"/>
      <c r="C336" s="88"/>
      <c r="D336" s="88"/>
      <c r="E336" s="88"/>
      <c r="F336" s="8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88"/>
      <c r="B337" s="88"/>
      <c r="C337" s="88"/>
      <c r="D337" s="88"/>
      <c r="E337" s="88"/>
      <c r="F337" s="8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88"/>
      <c r="B338" s="88"/>
      <c r="C338" s="88"/>
      <c r="D338" s="88"/>
      <c r="E338" s="88"/>
      <c r="F338" s="8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88"/>
      <c r="B339" s="88"/>
      <c r="C339" s="88"/>
      <c r="D339" s="88"/>
      <c r="E339" s="88"/>
      <c r="F339" s="8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88"/>
      <c r="B340" s="88"/>
      <c r="C340" s="88"/>
      <c r="D340" s="88"/>
      <c r="E340" s="88"/>
      <c r="F340" s="8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88"/>
      <c r="B341" s="88"/>
      <c r="C341" s="88"/>
      <c r="D341" s="88"/>
      <c r="E341" s="88"/>
      <c r="F341" s="8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88"/>
      <c r="B342" s="88"/>
      <c r="C342" s="88"/>
      <c r="D342" s="88"/>
      <c r="E342" s="88"/>
      <c r="F342" s="8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88"/>
      <c r="B343" s="88"/>
      <c r="C343" s="88"/>
      <c r="D343" s="88"/>
      <c r="E343" s="88"/>
      <c r="F343" s="8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88"/>
      <c r="B344" s="88"/>
      <c r="C344" s="88"/>
      <c r="D344" s="88"/>
      <c r="E344" s="88"/>
      <c r="F344" s="8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88"/>
      <c r="B345" s="88"/>
      <c r="C345" s="88"/>
      <c r="D345" s="88"/>
      <c r="E345" s="88"/>
      <c r="F345" s="8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88"/>
      <c r="B346" s="88"/>
      <c r="C346" s="88"/>
      <c r="D346" s="88"/>
      <c r="E346" s="88"/>
      <c r="F346" s="8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88"/>
      <c r="B347" s="88"/>
      <c r="C347" s="88"/>
      <c r="D347" s="88"/>
      <c r="E347" s="88"/>
      <c r="F347" s="8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88"/>
      <c r="B348" s="88"/>
      <c r="C348" s="88"/>
      <c r="D348" s="88"/>
      <c r="E348" s="88"/>
      <c r="F348" s="8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88"/>
      <c r="B349" s="88"/>
      <c r="C349" s="88"/>
      <c r="D349" s="88"/>
      <c r="E349" s="88"/>
      <c r="F349" s="8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88"/>
      <c r="B350" s="88"/>
      <c r="C350" s="88"/>
      <c r="D350" s="88"/>
      <c r="E350" s="88"/>
      <c r="F350" s="8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88"/>
      <c r="B351" s="88"/>
      <c r="C351" s="88"/>
      <c r="D351" s="88"/>
      <c r="E351" s="88"/>
      <c r="F351" s="8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88"/>
      <c r="B352" s="88"/>
      <c r="C352" s="88"/>
      <c r="D352" s="88"/>
      <c r="E352" s="88"/>
      <c r="F352" s="8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88"/>
      <c r="B353" s="88"/>
      <c r="C353" s="88"/>
      <c r="D353" s="88"/>
      <c r="E353" s="88"/>
      <c r="F353" s="8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88"/>
      <c r="B354" s="88"/>
      <c r="C354" s="88"/>
      <c r="D354" s="88"/>
      <c r="E354" s="88"/>
      <c r="F354" s="8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88"/>
      <c r="B355" s="88"/>
      <c r="C355" s="88"/>
      <c r="D355" s="88"/>
      <c r="E355" s="88"/>
      <c r="F355" s="8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88"/>
      <c r="B356" s="88"/>
      <c r="C356" s="88"/>
      <c r="D356" s="88"/>
      <c r="E356" s="88"/>
      <c r="F356" s="8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88"/>
      <c r="B357" s="88"/>
      <c r="C357" s="88"/>
      <c r="D357" s="88"/>
      <c r="E357" s="88"/>
      <c r="F357" s="8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88"/>
      <c r="B358" s="88"/>
      <c r="C358" s="88"/>
      <c r="D358" s="88"/>
      <c r="E358" s="88"/>
      <c r="F358" s="8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88"/>
      <c r="B359" s="88"/>
      <c r="C359" s="88"/>
      <c r="D359" s="88"/>
      <c r="E359" s="88"/>
      <c r="F359" s="8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88"/>
      <c r="B360" s="88"/>
      <c r="C360" s="88"/>
      <c r="D360" s="88"/>
      <c r="E360" s="88"/>
      <c r="F360" s="8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88"/>
      <c r="B361" s="88"/>
      <c r="C361" s="88"/>
      <c r="D361" s="88"/>
      <c r="E361" s="88"/>
      <c r="F361" s="8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88"/>
      <c r="B362" s="88"/>
      <c r="C362" s="88"/>
      <c r="D362" s="88"/>
      <c r="E362" s="88"/>
      <c r="F362" s="8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88"/>
      <c r="B363" s="88"/>
      <c r="C363" s="88"/>
      <c r="D363" s="88"/>
      <c r="E363" s="88"/>
      <c r="F363" s="8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88"/>
      <c r="B364" s="88"/>
      <c r="C364" s="88"/>
      <c r="D364" s="88"/>
      <c r="E364" s="88"/>
      <c r="F364" s="8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88"/>
      <c r="B365" s="88"/>
      <c r="C365" s="88"/>
      <c r="D365" s="88"/>
      <c r="E365" s="88"/>
      <c r="F365" s="8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88"/>
      <c r="B366" s="88"/>
      <c r="C366" s="88"/>
      <c r="D366" s="88"/>
      <c r="E366" s="88"/>
      <c r="F366" s="8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88"/>
      <c r="B367" s="88"/>
      <c r="C367" s="88"/>
      <c r="D367" s="88"/>
      <c r="E367" s="88"/>
      <c r="F367" s="8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88"/>
      <c r="B368" s="88"/>
      <c r="C368" s="88"/>
      <c r="D368" s="88"/>
      <c r="E368" s="88"/>
      <c r="F368" s="8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88"/>
      <c r="B369" s="88"/>
      <c r="C369" s="88"/>
      <c r="D369" s="88"/>
      <c r="E369" s="88"/>
      <c r="F369" s="8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88"/>
      <c r="B370" s="88"/>
      <c r="C370" s="88"/>
      <c r="D370" s="88"/>
      <c r="E370" s="88"/>
      <c r="F370" s="8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88"/>
      <c r="B371" s="88"/>
      <c r="C371" s="88"/>
      <c r="D371" s="88"/>
      <c r="E371" s="88"/>
      <c r="F371" s="8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88"/>
      <c r="B372" s="88"/>
      <c r="C372" s="88"/>
      <c r="D372" s="88"/>
      <c r="E372" s="88"/>
      <c r="F372" s="8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88"/>
      <c r="B373" s="88"/>
      <c r="C373" s="88"/>
      <c r="D373" s="88"/>
      <c r="E373" s="88"/>
      <c r="F373" s="8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88"/>
      <c r="B374" s="88"/>
      <c r="C374" s="88"/>
      <c r="D374" s="88"/>
      <c r="E374" s="88"/>
      <c r="F374" s="8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88"/>
      <c r="B375" s="88"/>
      <c r="C375" s="88"/>
      <c r="D375" s="88"/>
      <c r="E375" s="88"/>
      <c r="F375" s="8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88"/>
      <c r="B376" s="88"/>
      <c r="C376" s="88"/>
      <c r="D376" s="88"/>
      <c r="E376" s="88"/>
      <c r="F376" s="8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88"/>
      <c r="B377" s="88"/>
      <c r="C377" s="88"/>
      <c r="D377" s="88"/>
      <c r="E377" s="88"/>
      <c r="F377" s="8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88"/>
      <c r="B378" s="88"/>
      <c r="C378" s="88"/>
      <c r="D378" s="88"/>
      <c r="E378" s="88"/>
      <c r="F378" s="8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88"/>
      <c r="B379" s="88"/>
      <c r="C379" s="88"/>
      <c r="D379" s="88"/>
      <c r="E379" s="88"/>
      <c r="F379" s="8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88"/>
      <c r="B380" s="88"/>
      <c r="C380" s="88"/>
      <c r="D380" s="88"/>
      <c r="E380" s="88"/>
      <c r="F380" s="8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88"/>
      <c r="B381" s="88"/>
      <c r="C381" s="88"/>
      <c r="D381" s="88"/>
      <c r="E381" s="88"/>
      <c r="F381" s="8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88"/>
      <c r="B382" s="88"/>
      <c r="C382" s="88"/>
      <c r="D382" s="88"/>
      <c r="E382" s="88"/>
      <c r="F382" s="8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88"/>
      <c r="B383" s="88"/>
      <c r="C383" s="88"/>
      <c r="D383" s="88"/>
      <c r="E383" s="88"/>
      <c r="F383" s="8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88"/>
      <c r="B384" s="88"/>
      <c r="C384" s="88"/>
      <c r="D384" s="88"/>
      <c r="E384" s="88"/>
      <c r="F384" s="8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88"/>
      <c r="B385" s="88"/>
      <c r="C385" s="88"/>
      <c r="D385" s="88"/>
      <c r="E385" s="88"/>
      <c r="F385" s="8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88"/>
      <c r="B386" s="88"/>
      <c r="C386" s="88"/>
      <c r="D386" s="88"/>
      <c r="E386" s="88"/>
      <c r="F386" s="8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88"/>
      <c r="B387" s="88"/>
      <c r="C387" s="88"/>
      <c r="D387" s="88"/>
      <c r="E387" s="88"/>
      <c r="F387" s="8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88"/>
      <c r="B388" s="88"/>
      <c r="C388" s="88"/>
      <c r="D388" s="88"/>
      <c r="E388" s="88"/>
      <c r="F388" s="8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88"/>
      <c r="B389" s="88"/>
      <c r="C389" s="88"/>
      <c r="D389" s="88"/>
      <c r="E389" s="88"/>
      <c r="F389" s="8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88"/>
      <c r="B390" s="88"/>
      <c r="C390" s="88"/>
      <c r="D390" s="88"/>
      <c r="E390" s="88"/>
      <c r="F390" s="8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88"/>
      <c r="B391" s="88"/>
      <c r="C391" s="88"/>
      <c r="D391" s="88"/>
      <c r="E391" s="88"/>
      <c r="F391" s="8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88"/>
      <c r="B392" s="88"/>
      <c r="C392" s="88"/>
      <c r="D392" s="88"/>
      <c r="E392" s="88"/>
      <c r="F392" s="8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88"/>
      <c r="B393" s="88"/>
      <c r="C393" s="88"/>
      <c r="D393" s="88"/>
      <c r="E393" s="88"/>
      <c r="F393" s="8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88"/>
      <c r="B394" s="88"/>
      <c r="C394" s="88"/>
      <c r="D394" s="88"/>
      <c r="E394" s="88"/>
      <c r="F394" s="8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88"/>
      <c r="B395" s="88"/>
      <c r="C395" s="88"/>
      <c r="D395" s="88"/>
      <c r="E395" s="88"/>
      <c r="F395" s="8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88"/>
      <c r="B396" s="88"/>
      <c r="C396" s="88"/>
      <c r="D396" s="88"/>
      <c r="E396" s="88"/>
      <c r="F396" s="8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88"/>
      <c r="B397" s="88"/>
      <c r="C397" s="88"/>
      <c r="D397" s="88"/>
      <c r="E397" s="88"/>
      <c r="F397" s="8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88"/>
      <c r="B398" s="88"/>
      <c r="C398" s="88"/>
      <c r="D398" s="88"/>
      <c r="E398" s="88"/>
      <c r="F398" s="8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88"/>
      <c r="B399" s="88"/>
      <c r="C399" s="88"/>
      <c r="D399" s="88"/>
      <c r="E399" s="88"/>
      <c r="F399" s="8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88"/>
      <c r="B400" s="88"/>
      <c r="C400" s="88"/>
      <c r="D400" s="88"/>
      <c r="E400" s="88"/>
      <c r="F400" s="8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88"/>
      <c r="B401" s="88"/>
      <c r="C401" s="88"/>
      <c r="D401" s="88"/>
      <c r="E401" s="88"/>
      <c r="F401" s="8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88"/>
      <c r="B402" s="88"/>
      <c r="C402" s="88"/>
      <c r="D402" s="88"/>
      <c r="E402" s="88"/>
      <c r="F402" s="8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88"/>
      <c r="B403" s="88"/>
      <c r="C403" s="88"/>
      <c r="D403" s="88"/>
      <c r="E403" s="88"/>
      <c r="F403" s="8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88"/>
      <c r="B404" s="88"/>
      <c r="C404" s="88"/>
      <c r="D404" s="88"/>
      <c r="E404" s="88"/>
      <c r="F404" s="8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88"/>
      <c r="B405" s="88"/>
      <c r="C405" s="88"/>
      <c r="D405" s="88"/>
      <c r="E405" s="88"/>
      <c r="F405" s="8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88"/>
      <c r="B406" s="88"/>
      <c r="C406" s="88"/>
      <c r="D406" s="88"/>
      <c r="E406" s="88"/>
      <c r="F406" s="8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88"/>
      <c r="B407" s="88"/>
      <c r="C407" s="88"/>
      <c r="D407" s="88"/>
      <c r="E407" s="88"/>
      <c r="F407" s="8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88"/>
      <c r="B408" s="88"/>
      <c r="C408" s="88"/>
      <c r="D408" s="88"/>
      <c r="E408" s="88"/>
      <c r="F408" s="8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88"/>
      <c r="B409" s="88"/>
      <c r="C409" s="88"/>
      <c r="D409" s="88"/>
      <c r="E409" s="88"/>
      <c r="F409" s="8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88"/>
      <c r="B410" s="88"/>
      <c r="C410" s="88"/>
      <c r="D410" s="88"/>
      <c r="E410" s="88"/>
      <c r="F410" s="8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88"/>
      <c r="B411" s="88"/>
      <c r="C411" s="88"/>
      <c r="D411" s="88"/>
      <c r="E411" s="88"/>
      <c r="F411" s="8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88"/>
      <c r="B412" s="88"/>
      <c r="C412" s="88"/>
      <c r="D412" s="88"/>
      <c r="E412" s="88"/>
      <c r="F412" s="8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88"/>
      <c r="B413" s="88"/>
      <c r="C413" s="88"/>
      <c r="D413" s="88"/>
      <c r="E413" s="88"/>
      <c r="F413" s="8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88"/>
      <c r="B414" s="88"/>
      <c r="C414" s="88"/>
      <c r="D414" s="88"/>
      <c r="E414" s="88"/>
      <c r="F414" s="8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88"/>
      <c r="B415" s="88"/>
      <c r="C415" s="88"/>
      <c r="D415" s="88"/>
      <c r="E415" s="88"/>
      <c r="F415" s="8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88"/>
      <c r="B416" s="88"/>
      <c r="C416" s="88"/>
      <c r="D416" s="88"/>
      <c r="E416" s="88"/>
      <c r="F416" s="8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88"/>
      <c r="B417" s="88"/>
      <c r="C417" s="88"/>
      <c r="D417" s="88"/>
      <c r="E417" s="88"/>
      <c r="F417" s="8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88"/>
      <c r="B418" s="88"/>
      <c r="C418" s="88"/>
      <c r="D418" s="88"/>
      <c r="E418" s="88"/>
      <c r="F418" s="8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88"/>
      <c r="B419" s="88"/>
      <c r="C419" s="88"/>
      <c r="D419" s="88"/>
      <c r="E419" s="88"/>
      <c r="F419" s="8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88"/>
      <c r="B420" s="88"/>
      <c r="C420" s="88"/>
      <c r="D420" s="88"/>
      <c r="E420" s="88"/>
      <c r="F420" s="8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88"/>
      <c r="B421" s="88"/>
      <c r="C421" s="88"/>
      <c r="D421" s="88"/>
      <c r="E421" s="88"/>
      <c r="F421" s="8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88"/>
      <c r="B422" s="88"/>
      <c r="C422" s="88"/>
      <c r="D422" s="88"/>
      <c r="E422" s="88"/>
      <c r="F422" s="8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88"/>
      <c r="B423" s="88"/>
      <c r="C423" s="88"/>
      <c r="D423" s="88"/>
      <c r="E423" s="88"/>
      <c r="F423" s="8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88"/>
      <c r="B424" s="88"/>
      <c r="C424" s="88"/>
      <c r="D424" s="88"/>
      <c r="E424" s="88"/>
      <c r="F424" s="8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88"/>
      <c r="B425" s="88"/>
      <c r="C425" s="88"/>
      <c r="D425" s="88"/>
      <c r="E425" s="88"/>
      <c r="F425" s="8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88"/>
      <c r="B426" s="88"/>
      <c r="C426" s="88"/>
      <c r="D426" s="88"/>
      <c r="E426" s="88"/>
      <c r="F426" s="8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88"/>
      <c r="B427" s="88"/>
      <c r="C427" s="88"/>
      <c r="D427" s="88"/>
      <c r="E427" s="88"/>
      <c r="F427" s="8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88"/>
      <c r="B428" s="88"/>
      <c r="C428" s="88"/>
      <c r="D428" s="88"/>
      <c r="E428" s="88"/>
      <c r="F428" s="8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88"/>
      <c r="B429" s="88"/>
      <c r="C429" s="88"/>
      <c r="D429" s="88"/>
      <c r="E429" s="88"/>
      <c r="F429" s="8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88"/>
      <c r="B430" s="88"/>
      <c r="C430" s="88"/>
      <c r="D430" s="88"/>
      <c r="E430" s="88"/>
      <c r="F430" s="8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88"/>
      <c r="B431" s="88"/>
      <c r="C431" s="88"/>
      <c r="D431" s="88"/>
      <c r="E431" s="88"/>
      <c r="F431" s="8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88"/>
      <c r="B432" s="88"/>
      <c r="C432" s="88"/>
      <c r="D432" s="88"/>
      <c r="E432" s="88"/>
      <c r="F432" s="8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88"/>
      <c r="B433" s="88"/>
      <c r="C433" s="88"/>
      <c r="D433" s="88"/>
      <c r="E433" s="88"/>
      <c r="F433" s="8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88"/>
      <c r="B434" s="88"/>
      <c r="C434" s="88"/>
      <c r="D434" s="88"/>
      <c r="E434" s="88"/>
      <c r="F434" s="8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88"/>
      <c r="B435" s="88"/>
      <c r="C435" s="88"/>
      <c r="D435" s="88"/>
      <c r="E435" s="88"/>
      <c r="F435" s="8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88"/>
      <c r="B436" s="88"/>
      <c r="C436" s="88"/>
      <c r="D436" s="88"/>
      <c r="E436" s="88"/>
      <c r="F436" s="8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88"/>
      <c r="B437" s="88"/>
      <c r="C437" s="88"/>
      <c r="D437" s="88"/>
      <c r="E437" s="88"/>
      <c r="F437" s="8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88"/>
      <c r="B438" s="88"/>
      <c r="C438" s="88"/>
      <c r="D438" s="88"/>
      <c r="E438" s="88"/>
      <c r="F438" s="8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88"/>
      <c r="B439" s="88"/>
      <c r="C439" s="88"/>
      <c r="D439" s="88"/>
      <c r="E439" s="88"/>
      <c r="F439" s="8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88"/>
      <c r="B440" s="88"/>
      <c r="C440" s="88"/>
      <c r="D440" s="88"/>
      <c r="E440" s="88"/>
      <c r="F440" s="8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88"/>
      <c r="B441" s="88"/>
      <c r="C441" s="88"/>
      <c r="D441" s="88"/>
      <c r="E441" s="88"/>
      <c r="F441" s="8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88"/>
      <c r="B442" s="88"/>
      <c r="C442" s="88"/>
      <c r="D442" s="88"/>
      <c r="E442" s="88"/>
      <c r="F442" s="8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88"/>
      <c r="B443" s="88"/>
      <c r="C443" s="88"/>
      <c r="D443" s="88"/>
      <c r="E443" s="88"/>
      <c r="F443" s="8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88"/>
      <c r="B444" s="88"/>
      <c r="C444" s="88"/>
      <c r="D444" s="88"/>
      <c r="E444" s="88"/>
      <c r="F444" s="8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88"/>
      <c r="B445" s="88"/>
      <c r="C445" s="88"/>
      <c r="D445" s="88"/>
      <c r="E445" s="88"/>
      <c r="F445" s="8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88"/>
      <c r="B446" s="88"/>
      <c r="C446" s="88"/>
      <c r="D446" s="88"/>
      <c r="E446" s="88"/>
      <c r="F446" s="8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88"/>
      <c r="B447" s="88"/>
      <c r="C447" s="88"/>
      <c r="D447" s="88"/>
      <c r="E447" s="88"/>
      <c r="F447" s="8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88"/>
      <c r="B448" s="88"/>
      <c r="C448" s="88"/>
      <c r="D448" s="88"/>
      <c r="E448" s="88"/>
      <c r="F448" s="8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88"/>
      <c r="B449" s="88"/>
      <c r="C449" s="88"/>
      <c r="D449" s="88"/>
      <c r="E449" s="88"/>
      <c r="F449" s="8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88"/>
      <c r="B450" s="88"/>
      <c r="C450" s="88"/>
      <c r="D450" s="88"/>
      <c r="E450" s="88"/>
      <c r="F450" s="8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88"/>
      <c r="B451" s="88"/>
      <c r="C451" s="88"/>
      <c r="D451" s="88"/>
      <c r="E451" s="88"/>
      <c r="F451" s="8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88"/>
      <c r="B452" s="88"/>
      <c r="C452" s="88"/>
      <c r="D452" s="88"/>
      <c r="E452" s="88"/>
      <c r="F452" s="8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88"/>
      <c r="B453" s="88"/>
      <c r="C453" s="88"/>
      <c r="D453" s="88"/>
      <c r="E453" s="88"/>
      <c r="F453" s="8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88"/>
      <c r="B454" s="88"/>
      <c r="C454" s="88"/>
      <c r="D454" s="88"/>
      <c r="E454" s="88"/>
      <c r="F454" s="8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88"/>
      <c r="B455" s="88"/>
      <c r="C455" s="88"/>
      <c r="D455" s="88"/>
      <c r="E455" s="88"/>
      <c r="F455" s="8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88"/>
      <c r="B456" s="88"/>
      <c r="C456" s="88"/>
      <c r="D456" s="88"/>
      <c r="E456" s="88"/>
      <c r="F456" s="8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88"/>
      <c r="B457" s="88"/>
      <c r="C457" s="88"/>
      <c r="D457" s="88"/>
      <c r="E457" s="88"/>
      <c r="F457" s="8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88"/>
      <c r="B458" s="88"/>
      <c r="C458" s="88"/>
      <c r="D458" s="88"/>
      <c r="E458" s="88"/>
      <c r="F458" s="8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88"/>
      <c r="B459" s="88"/>
      <c r="C459" s="88"/>
      <c r="D459" s="88"/>
      <c r="E459" s="88"/>
      <c r="F459" s="8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88"/>
      <c r="B460" s="88"/>
      <c r="C460" s="88"/>
      <c r="D460" s="88"/>
      <c r="E460" s="88"/>
      <c r="F460" s="8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88"/>
      <c r="B461" s="88"/>
      <c r="C461" s="88"/>
      <c r="D461" s="88"/>
      <c r="E461" s="88"/>
      <c r="F461" s="8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88"/>
      <c r="B462" s="88"/>
      <c r="C462" s="88"/>
      <c r="D462" s="88"/>
      <c r="E462" s="88"/>
      <c r="F462" s="8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88"/>
      <c r="B463" s="88"/>
      <c r="C463" s="88"/>
      <c r="D463" s="88"/>
      <c r="E463" s="88"/>
      <c r="F463" s="8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88"/>
      <c r="B464" s="88"/>
      <c r="C464" s="88"/>
      <c r="D464" s="88"/>
      <c r="E464" s="88"/>
      <c r="F464" s="8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88"/>
      <c r="B465" s="88"/>
      <c r="C465" s="88"/>
      <c r="D465" s="88"/>
      <c r="E465" s="88"/>
      <c r="F465" s="8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88"/>
      <c r="B466" s="88"/>
      <c r="C466" s="88"/>
      <c r="D466" s="88"/>
      <c r="E466" s="88"/>
      <c r="F466" s="8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88"/>
      <c r="B467" s="88"/>
      <c r="C467" s="88"/>
      <c r="D467" s="88"/>
      <c r="E467" s="88"/>
      <c r="F467" s="8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88"/>
      <c r="B468" s="88"/>
      <c r="C468" s="88"/>
      <c r="D468" s="88"/>
      <c r="E468" s="88"/>
      <c r="F468" s="8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88"/>
      <c r="B469" s="88"/>
      <c r="C469" s="88"/>
      <c r="D469" s="88"/>
      <c r="E469" s="88"/>
      <c r="F469" s="8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88"/>
      <c r="B470" s="88"/>
      <c r="C470" s="88"/>
      <c r="D470" s="88"/>
      <c r="E470" s="88"/>
      <c r="F470" s="8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88"/>
      <c r="B471" s="88"/>
      <c r="C471" s="88"/>
      <c r="D471" s="88"/>
      <c r="E471" s="88"/>
      <c r="F471" s="8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88"/>
      <c r="B472" s="88"/>
      <c r="C472" s="88"/>
      <c r="D472" s="88"/>
      <c r="E472" s="88"/>
      <c r="F472" s="8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88"/>
      <c r="B473" s="88"/>
      <c r="C473" s="88"/>
      <c r="D473" s="88"/>
      <c r="E473" s="88"/>
      <c r="F473" s="8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88"/>
      <c r="B474" s="88"/>
      <c r="C474" s="88"/>
      <c r="D474" s="88"/>
      <c r="E474" s="88"/>
      <c r="F474" s="8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88"/>
      <c r="B475" s="88"/>
      <c r="C475" s="88"/>
      <c r="D475" s="88"/>
      <c r="E475" s="88"/>
      <c r="F475" s="8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88"/>
      <c r="B476" s="88"/>
      <c r="C476" s="88"/>
      <c r="D476" s="88"/>
      <c r="E476" s="88"/>
      <c r="F476" s="8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88"/>
      <c r="B477" s="88"/>
      <c r="C477" s="88"/>
      <c r="D477" s="88"/>
      <c r="E477" s="88"/>
      <c r="F477" s="8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88"/>
      <c r="B478" s="88"/>
      <c r="C478" s="88"/>
      <c r="D478" s="88"/>
      <c r="E478" s="88"/>
      <c r="F478" s="8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88"/>
      <c r="B479" s="88"/>
      <c r="C479" s="88"/>
      <c r="D479" s="88"/>
      <c r="E479" s="88"/>
      <c r="F479" s="8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88"/>
      <c r="B480" s="88"/>
      <c r="C480" s="88"/>
      <c r="D480" s="88"/>
      <c r="E480" s="88"/>
      <c r="F480" s="8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88"/>
      <c r="B481" s="88"/>
      <c r="C481" s="88"/>
      <c r="D481" s="88"/>
      <c r="E481" s="88"/>
      <c r="F481" s="8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88"/>
      <c r="B482" s="88"/>
      <c r="C482" s="88"/>
      <c r="D482" s="88"/>
      <c r="E482" s="88"/>
      <c r="F482" s="8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88"/>
      <c r="B483" s="88"/>
      <c r="C483" s="88"/>
      <c r="D483" s="88"/>
      <c r="E483" s="88"/>
      <c r="F483" s="8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88"/>
      <c r="B484" s="88"/>
      <c r="C484" s="88"/>
      <c r="D484" s="88"/>
      <c r="E484" s="88"/>
      <c r="F484" s="8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88"/>
      <c r="B485" s="88"/>
      <c r="C485" s="88"/>
      <c r="D485" s="88"/>
      <c r="E485" s="88"/>
      <c r="F485" s="8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88"/>
      <c r="B486" s="88"/>
      <c r="C486" s="88"/>
      <c r="D486" s="88"/>
      <c r="E486" s="88"/>
      <c r="F486" s="8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88"/>
      <c r="B487" s="88"/>
      <c r="C487" s="88"/>
      <c r="D487" s="88"/>
      <c r="E487" s="88"/>
      <c r="F487" s="8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88"/>
      <c r="B488" s="88"/>
      <c r="C488" s="88"/>
      <c r="D488" s="88"/>
      <c r="E488" s="88"/>
      <c r="F488" s="8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88"/>
      <c r="B489" s="88"/>
      <c r="C489" s="88"/>
      <c r="D489" s="88"/>
      <c r="E489" s="88"/>
      <c r="F489" s="8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88"/>
      <c r="B490" s="88"/>
      <c r="C490" s="88"/>
      <c r="D490" s="88"/>
      <c r="E490" s="88"/>
      <c r="F490" s="8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88"/>
      <c r="B491" s="88"/>
      <c r="C491" s="88"/>
      <c r="D491" s="88"/>
      <c r="E491" s="88"/>
      <c r="F491" s="8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88"/>
      <c r="B492" s="88"/>
      <c r="C492" s="88"/>
      <c r="D492" s="88"/>
      <c r="E492" s="88"/>
      <c r="F492" s="8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88"/>
      <c r="B493" s="88"/>
      <c r="C493" s="88"/>
      <c r="D493" s="88"/>
      <c r="E493" s="88"/>
      <c r="F493" s="8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88"/>
      <c r="B494" s="88"/>
      <c r="C494" s="88"/>
      <c r="D494" s="88"/>
      <c r="E494" s="88"/>
      <c r="F494" s="8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88"/>
      <c r="B495" s="88"/>
      <c r="C495" s="88"/>
      <c r="D495" s="88"/>
      <c r="E495" s="88"/>
      <c r="F495" s="8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88"/>
      <c r="B496" s="88"/>
      <c r="C496" s="88"/>
      <c r="D496" s="88"/>
      <c r="E496" s="88"/>
      <c r="F496" s="8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88"/>
      <c r="B497" s="88"/>
      <c r="C497" s="88"/>
      <c r="D497" s="88"/>
      <c r="E497" s="88"/>
      <c r="F497" s="8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88"/>
      <c r="B498" s="88"/>
      <c r="C498" s="88"/>
      <c r="D498" s="88"/>
      <c r="E498" s="88"/>
      <c r="F498" s="8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88"/>
      <c r="B499" s="88"/>
      <c r="C499" s="88"/>
      <c r="D499" s="88"/>
      <c r="E499" s="88"/>
      <c r="F499" s="8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88"/>
      <c r="B500" s="88"/>
      <c r="C500" s="88"/>
      <c r="D500" s="88"/>
      <c r="E500" s="88"/>
      <c r="F500" s="8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88"/>
      <c r="B501" s="88"/>
      <c r="C501" s="88"/>
      <c r="D501" s="88"/>
      <c r="E501" s="88"/>
      <c r="F501" s="8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88"/>
      <c r="B502" s="88"/>
      <c r="C502" s="88"/>
      <c r="D502" s="88"/>
      <c r="E502" s="88"/>
      <c r="F502" s="8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88"/>
      <c r="B503" s="88"/>
      <c r="C503" s="88"/>
      <c r="D503" s="88"/>
      <c r="E503" s="88"/>
      <c r="F503" s="8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88"/>
      <c r="B504" s="88"/>
      <c r="C504" s="88"/>
      <c r="D504" s="88"/>
      <c r="E504" s="88"/>
      <c r="F504" s="8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88"/>
      <c r="B505" s="88"/>
      <c r="C505" s="88"/>
      <c r="D505" s="88"/>
      <c r="E505" s="88"/>
      <c r="F505" s="8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88"/>
      <c r="B506" s="88"/>
      <c r="C506" s="88"/>
      <c r="D506" s="88"/>
      <c r="E506" s="88"/>
      <c r="F506" s="8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88"/>
      <c r="B507" s="88"/>
      <c r="C507" s="88"/>
      <c r="D507" s="88"/>
      <c r="E507" s="88"/>
      <c r="F507" s="8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88"/>
      <c r="B508" s="88"/>
      <c r="C508" s="88"/>
      <c r="D508" s="88"/>
      <c r="E508" s="88"/>
      <c r="F508" s="8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88"/>
      <c r="B509" s="88"/>
      <c r="C509" s="88"/>
      <c r="D509" s="88"/>
      <c r="E509" s="88"/>
      <c r="F509" s="8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88"/>
      <c r="B510" s="88"/>
      <c r="C510" s="88"/>
      <c r="D510" s="88"/>
      <c r="E510" s="88"/>
      <c r="F510" s="8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88"/>
      <c r="B511" s="88"/>
      <c r="C511" s="88"/>
      <c r="D511" s="88"/>
      <c r="E511" s="88"/>
      <c r="F511" s="8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88"/>
      <c r="B512" s="88"/>
      <c r="C512" s="88"/>
      <c r="D512" s="88"/>
      <c r="E512" s="88"/>
      <c r="F512" s="8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88"/>
      <c r="B513" s="88"/>
      <c r="C513" s="88"/>
      <c r="D513" s="88"/>
      <c r="E513" s="88"/>
      <c r="F513" s="8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88"/>
      <c r="B514" s="88"/>
      <c r="C514" s="88"/>
      <c r="D514" s="88"/>
      <c r="E514" s="88"/>
      <c r="F514" s="8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88"/>
      <c r="B515" s="88"/>
      <c r="C515" s="88"/>
      <c r="D515" s="88"/>
      <c r="E515" s="88"/>
      <c r="F515" s="8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88"/>
      <c r="B516" s="88"/>
      <c r="C516" s="88"/>
      <c r="D516" s="88"/>
      <c r="E516" s="88"/>
      <c r="F516" s="8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88"/>
      <c r="B517" s="88"/>
      <c r="C517" s="88"/>
      <c r="D517" s="88"/>
      <c r="E517" s="88"/>
      <c r="F517" s="8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88"/>
      <c r="B518" s="88"/>
      <c r="C518" s="88"/>
      <c r="D518" s="88"/>
      <c r="E518" s="88"/>
      <c r="F518" s="8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88"/>
      <c r="B519" s="88"/>
      <c r="C519" s="88"/>
      <c r="D519" s="88"/>
      <c r="E519" s="88"/>
      <c r="F519" s="8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88"/>
      <c r="B520" s="88"/>
      <c r="C520" s="88"/>
      <c r="D520" s="88"/>
      <c r="E520" s="88"/>
      <c r="F520" s="8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88"/>
      <c r="B521" s="88"/>
      <c r="C521" s="88"/>
      <c r="D521" s="88"/>
      <c r="E521" s="88"/>
      <c r="F521" s="8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88"/>
      <c r="B522" s="88"/>
      <c r="C522" s="88"/>
      <c r="D522" s="88"/>
      <c r="E522" s="88"/>
      <c r="F522" s="8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88"/>
      <c r="B523" s="88"/>
      <c r="C523" s="88"/>
      <c r="D523" s="88"/>
      <c r="E523" s="88"/>
      <c r="F523" s="8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88"/>
      <c r="B524" s="88"/>
      <c r="C524" s="88"/>
      <c r="D524" s="88"/>
      <c r="E524" s="88"/>
      <c r="F524" s="8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88"/>
      <c r="B525" s="88"/>
      <c r="C525" s="88"/>
      <c r="D525" s="88"/>
      <c r="E525" s="88"/>
      <c r="F525" s="8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88"/>
      <c r="B526" s="88"/>
      <c r="C526" s="88"/>
      <c r="D526" s="88"/>
      <c r="E526" s="88"/>
      <c r="F526" s="8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88"/>
      <c r="B527" s="88"/>
      <c r="C527" s="88"/>
      <c r="D527" s="88"/>
      <c r="E527" s="88"/>
      <c r="F527" s="8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88"/>
      <c r="B528" s="88"/>
      <c r="C528" s="88"/>
      <c r="D528" s="88"/>
      <c r="E528" s="88"/>
      <c r="F528" s="8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88"/>
      <c r="B529" s="88"/>
      <c r="C529" s="88"/>
      <c r="D529" s="88"/>
      <c r="E529" s="88"/>
      <c r="F529" s="8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88"/>
      <c r="B530" s="88"/>
      <c r="C530" s="88"/>
      <c r="D530" s="88"/>
      <c r="E530" s="88"/>
      <c r="F530" s="8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88"/>
      <c r="B531" s="88"/>
      <c r="C531" s="88"/>
      <c r="D531" s="88"/>
      <c r="E531" s="88"/>
      <c r="F531" s="8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88"/>
      <c r="B532" s="88"/>
      <c r="C532" s="88"/>
      <c r="D532" s="88"/>
      <c r="E532" s="88"/>
      <c r="F532" s="8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88"/>
      <c r="B533" s="88"/>
      <c r="C533" s="88"/>
      <c r="D533" s="88"/>
      <c r="E533" s="88"/>
      <c r="F533" s="8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88"/>
      <c r="B534" s="88"/>
      <c r="C534" s="88"/>
      <c r="D534" s="88"/>
      <c r="E534" s="88"/>
      <c r="F534" s="8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88"/>
      <c r="B535" s="88"/>
      <c r="C535" s="88"/>
      <c r="D535" s="88"/>
      <c r="E535" s="88"/>
      <c r="F535" s="8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88"/>
      <c r="B536" s="88"/>
      <c r="C536" s="88"/>
      <c r="D536" s="88"/>
      <c r="E536" s="88"/>
      <c r="F536" s="8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88"/>
      <c r="B537" s="88"/>
      <c r="C537" s="88"/>
      <c r="D537" s="88"/>
      <c r="E537" s="88"/>
      <c r="F537" s="8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88"/>
      <c r="B538" s="88"/>
      <c r="C538" s="88"/>
      <c r="D538" s="88"/>
      <c r="E538" s="88"/>
      <c r="F538" s="8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88"/>
      <c r="B539" s="88"/>
      <c r="C539" s="88"/>
      <c r="D539" s="88"/>
      <c r="E539" s="88"/>
      <c r="F539" s="8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88"/>
      <c r="B540" s="88"/>
      <c r="C540" s="88"/>
      <c r="D540" s="88"/>
      <c r="E540" s="88"/>
      <c r="F540" s="8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88"/>
      <c r="B541" s="88"/>
      <c r="C541" s="88"/>
      <c r="D541" s="88"/>
      <c r="E541" s="88"/>
      <c r="F541" s="8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88"/>
      <c r="B542" s="88"/>
      <c r="C542" s="88"/>
      <c r="D542" s="88"/>
      <c r="E542" s="88"/>
      <c r="F542" s="8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88"/>
      <c r="B543" s="88"/>
      <c r="C543" s="88"/>
      <c r="D543" s="88"/>
      <c r="E543" s="88"/>
      <c r="F543" s="8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88"/>
      <c r="B544" s="88"/>
      <c r="C544" s="88"/>
      <c r="D544" s="88"/>
      <c r="E544" s="88"/>
      <c r="F544" s="8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88"/>
      <c r="B545" s="88"/>
      <c r="C545" s="88"/>
      <c r="D545" s="88"/>
      <c r="E545" s="88"/>
      <c r="F545" s="8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88"/>
      <c r="B546" s="88"/>
      <c r="C546" s="88"/>
      <c r="D546" s="88"/>
      <c r="E546" s="88"/>
      <c r="F546" s="8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88"/>
      <c r="B547" s="88"/>
      <c r="C547" s="88"/>
      <c r="D547" s="88"/>
      <c r="E547" s="88"/>
      <c r="F547" s="8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88"/>
      <c r="B548" s="88"/>
      <c r="C548" s="88"/>
      <c r="D548" s="88"/>
      <c r="E548" s="88"/>
      <c r="F548" s="8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88"/>
      <c r="B549" s="88"/>
      <c r="C549" s="88"/>
      <c r="D549" s="88"/>
      <c r="E549" s="88"/>
      <c r="F549" s="8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88"/>
      <c r="B550" s="88"/>
      <c r="C550" s="88"/>
      <c r="D550" s="88"/>
      <c r="E550" s="88"/>
      <c r="F550" s="8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88"/>
      <c r="B551" s="88"/>
      <c r="C551" s="88"/>
      <c r="D551" s="88"/>
      <c r="E551" s="88"/>
      <c r="F551" s="8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88"/>
      <c r="B552" s="88"/>
      <c r="C552" s="88"/>
      <c r="D552" s="88"/>
      <c r="E552" s="88"/>
      <c r="F552" s="8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88"/>
      <c r="B553" s="88"/>
      <c r="C553" s="88"/>
      <c r="D553" s="88"/>
      <c r="E553" s="88"/>
      <c r="F553" s="8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88"/>
      <c r="B554" s="88"/>
      <c r="C554" s="88"/>
      <c r="D554" s="88"/>
      <c r="E554" s="88"/>
      <c r="F554" s="8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88"/>
      <c r="B555" s="88"/>
      <c r="C555" s="88"/>
      <c r="D555" s="88"/>
      <c r="E555" s="88"/>
      <c r="F555" s="8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88"/>
      <c r="B556" s="88"/>
      <c r="C556" s="88"/>
      <c r="D556" s="88"/>
      <c r="E556" s="88"/>
      <c r="F556" s="8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88"/>
      <c r="B557" s="88"/>
      <c r="C557" s="88"/>
      <c r="D557" s="88"/>
      <c r="E557" s="88"/>
      <c r="F557" s="8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88"/>
      <c r="B558" s="88"/>
      <c r="C558" s="88"/>
      <c r="D558" s="88"/>
      <c r="E558" s="88"/>
      <c r="F558" s="8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88"/>
      <c r="B559" s="88"/>
      <c r="C559" s="88"/>
      <c r="D559" s="88"/>
      <c r="E559" s="88"/>
      <c r="F559" s="8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88"/>
      <c r="B560" s="88"/>
      <c r="C560" s="88"/>
      <c r="D560" s="88"/>
      <c r="E560" s="88"/>
      <c r="F560" s="8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88"/>
      <c r="B561" s="88"/>
      <c r="C561" s="88"/>
      <c r="D561" s="88"/>
      <c r="E561" s="88"/>
      <c r="F561" s="8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88"/>
      <c r="B562" s="88"/>
      <c r="C562" s="88"/>
      <c r="D562" s="88"/>
      <c r="E562" s="88"/>
      <c r="F562" s="8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88"/>
      <c r="B563" s="88"/>
      <c r="C563" s="88"/>
      <c r="D563" s="88"/>
      <c r="E563" s="88"/>
      <c r="F563" s="8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88"/>
      <c r="B564" s="88"/>
      <c r="C564" s="88"/>
      <c r="D564" s="88"/>
      <c r="E564" s="88"/>
      <c r="F564" s="8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88"/>
      <c r="B565" s="88"/>
      <c r="C565" s="88"/>
      <c r="D565" s="88"/>
      <c r="E565" s="88"/>
      <c r="F565" s="8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88"/>
      <c r="B566" s="88"/>
      <c r="C566" s="88"/>
      <c r="D566" s="88"/>
      <c r="E566" s="88"/>
      <c r="F566" s="8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88"/>
      <c r="B567" s="88"/>
      <c r="C567" s="88"/>
      <c r="D567" s="88"/>
      <c r="E567" s="88"/>
      <c r="F567" s="8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88"/>
      <c r="B568" s="88"/>
      <c r="C568" s="88"/>
      <c r="D568" s="88"/>
      <c r="E568" s="88"/>
      <c r="F568" s="8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88"/>
      <c r="B569" s="88"/>
      <c r="C569" s="88"/>
      <c r="D569" s="88"/>
      <c r="E569" s="88"/>
      <c r="F569" s="8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88"/>
      <c r="B570" s="88"/>
      <c r="C570" s="88"/>
      <c r="D570" s="88"/>
      <c r="E570" s="88"/>
      <c r="F570" s="8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88"/>
      <c r="B571" s="88"/>
      <c r="C571" s="88"/>
      <c r="D571" s="88"/>
      <c r="E571" s="88"/>
      <c r="F571" s="8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88"/>
      <c r="B572" s="88"/>
      <c r="C572" s="88"/>
      <c r="D572" s="88"/>
      <c r="E572" s="88"/>
      <c r="F572" s="8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88"/>
      <c r="B573" s="88"/>
      <c r="C573" s="88"/>
      <c r="D573" s="88"/>
      <c r="E573" s="88"/>
      <c r="F573" s="8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88"/>
      <c r="B574" s="88"/>
      <c r="C574" s="88"/>
      <c r="D574" s="88"/>
      <c r="E574" s="88"/>
      <c r="F574" s="8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88"/>
      <c r="B575" s="88"/>
      <c r="C575" s="88"/>
      <c r="D575" s="88"/>
      <c r="E575" s="88"/>
      <c r="F575" s="8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88"/>
      <c r="B576" s="88"/>
      <c r="C576" s="88"/>
      <c r="D576" s="88"/>
      <c r="E576" s="88"/>
      <c r="F576" s="8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88"/>
      <c r="B577" s="88"/>
      <c r="C577" s="88"/>
      <c r="D577" s="88"/>
      <c r="E577" s="88"/>
      <c r="F577" s="8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88"/>
      <c r="B578" s="88"/>
      <c r="C578" s="88"/>
      <c r="D578" s="88"/>
      <c r="E578" s="88"/>
      <c r="F578" s="8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88"/>
      <c r="B579" s="88"/>
      <c r="C579" s="88"/>
      <c r="D579" s="88"/>
      <c r="E579" s="88"/>
      <c r="F579" s="8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88"/>
      <c r="B580" s="88"/>
      <c r="C580" s="88"/>
      <c r="D580" s="88"/>
      <c r="E580" s="88"/>
      <c r="F580" s="8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88"/>
      <c r="B581" s="88"/>
      <c r="C581" s="88"/>
      <c r="D581" s="88"/>
      <c r="E581" s="88"/>
      <c r="F581" s="8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88"/>
      <c r="B582" s="88"/>
      <c r="C582" s="88"/>
      <c r="D582" s="88"/>
      <c r="E582" s="88"/>
      <c r="F582" s="8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88"/>
      <c r="B583" s="88"/>
      <c r="C583" s="88"/>
      <c r="D583" s="88"/>
      <c r="E583" s="88"/>
      <c r="F583" s="8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88"/>
      <c r="B584" s="88"/>
      <c r="C584" s="88"/>
      <c r="D584" s="88"/>
      <c r="E584" s="88"/>
      <c r="F584" s="8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88"/>
      <c r="B585" s="88"/>
      <c r="C585" s="88"/>
      <c r="D585" s="88"/>
      <c r="E585" s="88"/>
      <c r="F585" s="8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88"/>
      <c r="B586" s="88"/>
      <c r="C586" s="88"/>
      <c r="D586" s="88"/>
      <c r="E586" s="88"/>
      <c r="F586" s="8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88"/>
      <c r="B587" s="88"/>
      <c r="C587" s="88"/>
      <c r="D587" s="88"/>
      <c r="E587" s="88"/>
      <c r="F587" s="8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88"/>
      <c r="B588" s="88"/>
      <c r="C588" s="88"/>
      <c r="D588" s="88"/>
      <c r="E588" s="88"/>
      <c r="F588" s="8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88"/>
      <c r="B589" s="88"/>
      <c r="C589" s="88"/>
      <c r="D589" s="88"/>
      <c r="E589" s="88"/>
      <c r="F589" s="8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88"/>
      <c r="B590" s="88"/>
      <c r="C590" s="88"/>
      <c r="D590" s="88"/>
      <c r="E590" s="88"/>
      <c r="F590" s="8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88"/>
      <c r="B591" s="88"/>
      <c r="C591" s="88"/>
      <c r="D591" s="88"/>
      <c r="E591" s="88"/>
      <c r="F591" s="8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88"/>
      <c r="B592" s="88"/>
      <c r="C592" s="88"/>
      <c r="D592" s="88"/>
      <c r="E592" s="88"/>
      <c r="F592" s="8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88"/>
      <c r="B593" s="88"/>
      <c r="C593" s="88"/>
      <c r="D593" s="88"/>
      <c r="E593" s="88"/>
      <c r="F593" s="8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88"/>
      <c r="B594" s="88"/>
      <c r="C594" s="88"/>
      <c r="D594" s="88"/>
      <c r="E594" s="88"/>
      <c r="F594" s="8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88"/>
      <c r="B595" s="88"/>
      <c r="C595" s="88"/>
      <c r="D595" s="88"/>
      <c r="E595" s="88"/>
      <c r="F595" s="8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88"/>
      <c r="B596" s="88"/>
      <c r="C596" s="88"/>
      <c r="D596" s="88"/>
      <c r="E596" s="88"/>
      <c r="F596" s="8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88"/>
      <c r="B597" s="88"/>
      <c r="C597" s="88"/>
      <c r="D597" s="88"/>
      <c r="E597" s="88"/>
      <c r="F597" s="8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88"/>
      <c r="B598" s="88"/>
      <c r="C598" s="88"/>
      <c r="D598" s="88"/>
      <c r="E598" s="88"/>
      <c r="F598" s="8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88"/>
      <c r="B599" s="88"/>
      <c r="C599" s="88"/>
      <c r="D599" s="88"/>
      <c r="E599" s="88"/>
      <c r="F599" s="8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88"/>
      <c r="B600" s="88"/>
      <c r="C600" s="88"/>
      <c r="D600" s="88"/>
      <c r="E600" s="88"/>
      <c r="F600" s="8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88"/>
      <c r="B601" s="88"/>
      <c r="C601" s="88"/>
      <c r="D601" s="88"/>
      <c r="E601" s="88"/>
      <c r="F601" s="8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88"/>
      <c r="B602" s="88"/>
      <c r="C602" s="88"/>
      <c r="D602" s="88"/>
      <c r="E602" s="88"/>
      <c r="F602" s="8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88"/>
      <c r="B603" s="88"/>
      <c r="C603" s="88"/>
      <c r="D603" s="88"/>
      <c r="E603" s="88"/>
      <c r="F603" s="8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88"/>
      <c r="B604" s="88"/>
      <c r="C604" s="88"/>
      <c r="D604" s="88"/>
      <c r="E604" s="88"/>
      <c r="F604" s="8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88"/>
      <c r="B605" s="88"/>
      <c r="C605" s="88"/>
      <c r="D605" s="88"/>
      <c r="E605" s="88"/>
      <c r="F605" s="8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88"/>
      <c r="B606" s="88"/>
      <c r="C606" s="88"/>
      <c r="D606" s="88"/>
      <c r="E606" s="88"/>
      <c r="F606" s="8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88"/>
      <c r="B607" s="88"/>
      <c r="C607" s="88"/>
      <c r="D607" s="88"/>
      <c r="E607" s="88"/>
      <c r="F607" s="8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88"/>
      <c r="B608" s="88"/>
      <c r="C608" s="88"/>
      <c r="D608" s="88"/>
      <c r="E608" s="88"/>
      <c r="F608" s="8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88"/>
      <c r="B609" s="88"/>
      <c r="C609" s="88"/>
      <c r="D609" s="88"/>
      <c r="E609" s="88"/>
      <c r="F609" s="8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88"/>
      <c r="B610" s="88"/>
      <c r="C610" s="88"/>
      <c r="D610" s="88"/>
      <c r="E610" s="88"/>
      <c r="F610" s="8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88"/>
      <c r="B611" s="88"/>
      <c r="C611" s="88"/>
      <c r="D611" s="88"/>
      <c r="E611" s="88"/>
      <c r="F611" s="8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88"/>
      <c r="B612" s="88"/>
      <c r="C612" s="88"/>
      <c r="D612" s="88"/>
      <c r="E612" s="88"/>
      <c r="F612" s="8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88"/>
      <c r="B613" s="88"/>
      <c r="C613" s="88"/>
      <c r="D613" s="88"/>
      <c r="E613" s="88"/>
      <c r="F613" s="8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88"/>
      <c r="B614" s="88"/>
      <c r="C614" s="88"/>
      <c r="D614" s="88"/>
      <c r="E614" s="88"/>
      <c r="F614" s="8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88"/>
      <c r="B615" s="88"/>
      <c r="C615" s="88"/>
      <c r="D615" s="88"/>
      <c r="E615" s="88"/>
      <c r="F615" s="8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88"/>
      <c r="B616" s="88"/>
      <c r="C616" s="88"/>
      <c r="D616" s="88"/>
      <c r="E616" s="88"/>
      <c r="F616" s="8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88"/>
      <c r="B617" s="88"/>
      <c r="C617" s="88"/>
      <c r="D617" s="88"/>
      <c r="E617" s="88"/>
      <c r="F617" s="8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88"/>
      <c r="B618" s="88"/>
      <c r="C618" s="88"/>
      <c r="D618" s="88"/>
      <c r="E618" s="88"/>
      <c r="F618" s="8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88"/>
      <c r="B619" s="88"/>
      <c r="C619" s="88"/>
      <c r="D619" s="88"/>
      <c r="E619" s="88"/>
      <c r="F619" s="8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88"/>
      <c r="B620" s="88"/>
      <c r="C620" s="88"/>
      <c r="D620" s="88"/>
      <c r="E620" s="88"/>
      <c r="F620" s="8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88"/>
      <c r="B621" s="88"/>
      <c r="C621" s="88"/>
      <c r="D621" s="88"/>
      <c r="E621" s="88"/>
      <c r="F621" s="8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88"/>
      <c r="B622" s="88"/>
      <c r="C622" s="88"/>
      <c r="D622" s="88"/>
      <c r="E622" s="88"/>
      <c r="F622" s="8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88"/>
      <c r="B623" s="88"/>
      <c r="C623" s="88"/>
      <c r="D623" s="88"/>
      <c r="E623" s="88"/>
      <c r="F623" s="8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88"/>
      <c r="B624" s="88"/>
      <c r="C624" s="88"/>
      <c r="D624" s="88"/>
      <c r="E624" s="88"/>
      <c r="F624" s="8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88"/>
      <c r="B625" s="88"/>
      <c r="C625" s="88"/>
      <c r="D625" s="88"/>
      <c r="E625" s="88"/>
      <c r="F625" s="8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88"/>
      <c r="B626" s="88"/>
      <c r="C626" s="88"/>
      <c r="D626" s="88"/>
      <c r="E626" s="88"/>
      <c r="F626" s="8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88"/>
      <c r="B627" s="88"/>
      <c r="C627" s="88"/>
      <c r="D627" s="88"/>
      <c r="E627" s="88"/>
      <c r="F627" s="8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88"/>
      <c r="B628" s="88"/>
      <c r="C628" s="88"/>
      <c r="D628" s="88"/>
      <c r="E628" s="88"/>
      <c r="F628" s="8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88"/>
      <c r="B629" s="88"/>
      <c r="C629" s="88"/>
      <c r="D629" s="88"/>
      <c r="E629" s="88"/>
      <c r="F629" s="8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88"/>
      <c r="B630" s="88"/>
      <c r="C630" s="88"/>
      <c r="D630" s="88"/>
      <c r="E630" s="88"/>
      <c r="F630" s="8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88"/>
      <c r="B631" s="88"/>
      <c r="C631" s="88"/>
      <c r="D631" s="88"/>
      <c r="E631" s="88"/>
      <c r="F631" s="8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88"/>
      <c r="B632" s="88"/>
      <c r="C632" s="88"/>
      <c r="D632" s="88"/>
      <c r="E632" s="88"/>
      <c r="F632" s="8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88"/>
      <c r="B633" s="88"/>
      <c r="C633" s="88"/>
      <c r="D633" s="88"/>
      <c r="E633" s="88"/>
      <c r="F633" s="8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88"/>
      <c r="B634" s="88"/>
      <c r="C634" s="88"/>
      <c r="D634" s="88"/>
      <c r="E634" s="88"/>
      <c r="F634" s="8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88"/>
      <c r="B635" s="88"/>
      <c r="C635" s="88"/>
      <c r="D635" s="88"/>
      <c r="E635" s="88"/>
      <c r="F635" s="8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88"/>
      <c r="B636" s="88"/>
      <c r="C636" s="88"/>
      <c r="D636" s="88"/>
      <c r="E636" s="88"/>
      <c r="F636" s="8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88"/>
      <c r="B637" s="88"/>
      <c r="C637" s="88"/>
      <c r="D637" s="88"/>
      <c r="E637" s="88"/>
      <c r="F637" s="8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88"/>
      <c r="B638" s="88"/>
      <c r="C638" s="88"/>
      <c r="D638" s="88"/>
      <c r="E638" s="88"/>
      <c r="F638" s="8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88"/>
      <c r="B639" s="88"/>
      <c r="C639" s="88"/>
      <c r="D639" s="88"/>
      <c r="E639" s="88"/>
      <c r="F639" s="8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88"/>
      <c r="B640" s="88"/>
      <c r="C640" s="88"/>
      <c r="D640" s="88"/>
      <c r="E640" s="88"/>
      <c r="F640" s="8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88"/>
      <c r="B641" s="88"/>
      <c r="C641" s="88"/>
      <c r="D641" s="88"/>
      <c r="E641" s="88"/>
      <c r="F641" s="8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88"/>
      <c r="B642" s="88"/>
      <c r="C642" s="88"/>
      <c r="D642" s="88"/>
      <c r="E642" s="88"/>
      <c r="F642" s="8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88"/>
      <c r="B643" s="88"/>
      <c r="C643" s="88"/>
      <c r="D643" s="88"/>
      <c r="E643" s="88"/>
      <c r="F643" s="8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88"/>
      <c r="B644" s="88"/>
      <c r="C644" s="88"/>
      <c r="D644" s="88"/>
      <c r="E644" s="88"/>
      <c r="F644" s="8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88"/>
      <c r="B645" s="88"/>
      <c r="C645" s="88"/>
      <c r="D645" s="88"/>
      <c r="E645" s="88"/>
      <c r="F645" s="8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88"/>
      <c r="B646" s="88"/>
      <c r="C646" s="88"/>
      <c r="D646" s="88"/>
      <c r="E646" s="88"/>
      <c r="F646" s="8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88"/>
      <c r="B647" s="88"/>
      <c r="C647" s="88"/>
      <c r="D647" s="88"/>
      <c r="E647" s="88"/>
      <c r="F647" s="8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88"/>
      <c r="B648" s="88"/>
      <c r="C648" s="88"/>
      <c r="D648" s="88"/>
      <c r="E648" s="88"/>
      <c r="F648" s="8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88"/>
      <c r="B649" s="88"/>
      <c r="C649" s="88"/>
      <c r="D649" s="88"/>
      <c r="E649" s="88"/>
      <c r="F649" s="8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88"/>
      <c r="B650" s="88"/>
      <c r="C650" s="88"/>
      <c r="D650" s="88"/>
      <c r="E650" s="88"/>
      <c r="F650" s="8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88"/>
      <c r="B651" s="88"/>
      <c r="C651" s="88"/>
      <c r="D651" s="88"/>
      <c r="E651" s="88"/>
      <c r="F651" s="8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88"/>
      <c r="B652" s="88"/>
      <c r="C652" s="88"/>
      <c r="D652" s="88"/>
      <c r="E652" s="88"/>
      <c r="F652" s="8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88"/>
      <c r="B653" s="88"/>
      <c r="C653" s="88"/>
      <c r="D653" s="88"/>
      <c r="E653" s="88"/>
      <c r="F653" s="8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88"/>
      <c r="B654" s="88"/>
      <c r="C654" s="88"/>
      <c r="D654" s="88"/>
      <c r="E654" s="88"/>
      <c r="F654" s="8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88"/>
      <c r="B655" s="88"/>
      <c r="C655" s="88"/>
      <c r="D655" s="88"/>
      <c r="E655" s="88"/>
      <c r="F655" s="8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88"/>
      <c r="B656" s="88"/>
      <c r="C656" s="88"/>
      <c r="D656" s="88"/>
      <c r="E656" s="88"/>
      <c r="F656" s="8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88"/>
      <c r="B657" s="88"/>
      <c r="C657" s="88"/>
      <c r="D657" s="88"/>
      <c r="E657" s="88"/>
      <c r="F657" s="8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88"/>
      <c r="B658" s="88"/>
      <c r="C658" s="88"/>
      <c r="D658" s="88"/>
      <c r="E658" s="88"/>
      <c r="F658" s="8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88"/>
      <c r="B659" s="88"/>
      <c r="C659" s="88"/>
      <c r="D659" s="88"/>
      <c r="E659" s="88"/>
      <c r="F659" s="8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88"/>
      <c r="B660" s="88"/>
      <c r="C660" s="88"/>
      <c r="D660" s="88"/>
      <c r="E660" s="88"/>
      <c r="F660" s="8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88"/>
      <c r="B661" s="88"/>
      <c r="C661" s="88"/>
      <c r="D661" s="88"/>
      <c r="E661" s="88"/>
      <c r="F661" s="8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88"/>
      <c r="B662" s="88"/>
      <c r="C662" s="88"/>
      <c r="D662" s="88"/>
      <c r="E662" s="88"/>
      <c r="F662" s="8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88"/>
      <c r="B663" s="88"/>
      <c r="C663" s="88"/>
      <c r="D663" s="88"/>
      <c r="E663" s="88"/>
      <c r="F663" s="8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88"/>
      <c r="B664" s="88"/>
      <c r="C664" s="88"/>
      <c r="D664" s="88"/>
      <c r="E664" s="88"/>
      <c r="F664" s="8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88"/>
      <c r="B665" s="88"/>
      <c r="C665" s="88"/>
      <c r="D665" s="88"/>
      <c r="E665" s="88"/>
      <c r="F665" s="8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88"/>
      <c r="B666" s="88"/>
      <c r="C666" s="88"/>
      <c r="D666" s="88"/>
      <c r="E666" s="88"/>
      <c r="F666" s="8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88"/>
      <c r="B667" s="88"/>
      <c r="C667" s="88"/>
      <c r="D667" s="88"/>
      <c r="E667" s="88"/>
      <c r="F667" s="8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88"/>
      <c r="B668" s="88"/>
      <c r="C668" s="88"/>
      <c r="D668" s="88"/>
      <c r="E668" s="88"/>
      <c r="F668" s="8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88"/>
      <c r="B669" s="88"/>
      <c r="C669" s="88"/>
      <c r="D669" s="88"/>
      <c r="E669" s="88"/>
      <c r="F669" s="8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88"/>
      <c r="B670" s="88"/>
      <c r="C670" s="88"/>
      <c r="D670" s="88"/>
      <c r="E670" s="88"/>
      <c r="F670" s="8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88"/>
      <c r="B671" s="88"/>
      <c r="C671" s="88"/>
      <c r="D671" s="88"/>
      <c r="E671" s="88"/>
      <c r="F671" s="8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88"/>
      <c r="B672" s="88"/>
      <c r="C672" s="88"/>
      <c r="D672" s="88"/>
      <c r="E672" s="88"/>
      <c r="F672" s="8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88"/>
      <c r="B673" s="88"/>
      <c r="C673" s="88"/>
      <c r="D673" s="88"/>
      <c r="E673" s="88"/>
      <c r="F673" s="8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88"/>
      <c r="B674" s="88"/>
      <c r="C674" s="88"/>
      <c r="D674" s="88"/>
      <c r="E674" s="88"/>
      <c r="F674" s="8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88"/>
      <c r="B675" s="88"/>
      <c r="C675" s="88"/>
      <c r="D675" s="88"/>
      <c r="E675" s="88"/>
      <c r="F675" s="8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88"/>
      <c r="B676" s="88"/>
      <c r="C676" s="88"/>
      <c r="D676" s="88"/>
      <c r="E676" s="88"/>
      <c r="F676" s="8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88"/>
      <c r="B677" s="88"/>
      <c r="C677" s="88"/>
      <c r="D677" s="88"/>
      <c r="E677" s="88"/>
      <c r="F677" s="8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88"/>
      <c r="B678" s="88"/>
      <c r="C678" s="88"/>
      <c r="D678" s="88"/>
      <c r="E678" s="88"/>
      <c r="F678" s="8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88"/>
      <c r="B679" s="88"/>
      <c r="C679" s="88"/>
      <c r="D679" s="88"/>
      <c r="E679" s="88"/>
      <c r="F679" s="8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88"/>
      <c r="B680" s="88"/>
      <c r="C680" s="88"/>
      <c r="D680" s="88"/>
      <c r="E680" s="88"/>
      <c r="F680" s="8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88"/>
      <c r="B681" s="88"/>
      <c r="C681" s="88"/>
      <c r="D681" s="88"/>
      <c r="E681" s="88"/>
      <c r="F681" s="8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88"/>
      <c r="B682" s="88"/>
      <c r="C682" s="88"/>
      <c r="D682" s="88"/>
      <c r="E682" s="88"/>
      <c r="F682" s="8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88"/>
      <c r="B683" s="88"/>
      <c r="C683" s="88"/>
      <c r="D683" s="88"/>
      <c r="E683" s="88"/>
      <c r="F683" s="8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88"/>
      <c r="B684" s="88"/>
      <c r="C684" s="88"/>
      <c r="D684" s="88"/>
      <c r="E684" s="88"/>
      <c r="F684" s="8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88"/>
      <c r="B685" s="88"/>
      <c r="C685" s="88"/>
      <c r="D685" s="88"/>
      <c r="E685" s="88"/>
      <c r="F685" s="8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88"/>
      <c r="B686" s="88"/>
      <c r="C686" s="88"/>
      <c r="D686" s="88"/>
      <c r="E686" s="88"/>
      <c r="F686" s="8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88"/>
      <c r="B687" s="88"/>
      <c r="C687" s="88"/>
      <c r="D687" s="88"/>
      <c r="E687" s="88"/>
      <c r="F687" s="8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88"/>
      <c r="B688" s="88"/>
      <c r="C688" s="88"/>
      <c r="D688" s="88"/>
      <c r="E688" s="88"/>
      <c r="F688" s="8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88"/>
      <c r="B689" s="88"/>
      <c r="C689" s="88"/>
      <c r="D689" s="88"/>
      <c r="E689" s="88"/>
      <c r="F689" s="8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88"/>
      <c r="B690" s="88"/>
      <c r="C690" s="88"/>
      <c r="D690" s="88"/>
      <c r="E690" s="88"/>
      <c r="F690" s="8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88"/>
      <c r="B691" s="88"/>
      <c r="C691" s="88"/>
      <c r="D691" s="88"/>
      <c r="E691" s="88"/>
      <c r="F691" s="8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88"/>
      <c r="B692" s="88"/>
      <c r="C692" s="88"/>
      <c r="D692" s="88"/>
      <c r="E692" s="88"/>
      <c r="F692" s="8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88"/>
      <c r="B693" s="88"/>
      <c r="C693" s="88"/>
      <c r="D693" s="88"/>
      <c r="E693" s="88"/>
      <c r="F693" s="8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88"/>
      <c r="B694" s="88"/>
      <c r="C694" s="88"/>
      <c r="D694" s="88"/>
      <c r="E694" s="88"/>
      <c r="F694" s="8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88"/>
      <c r="B695" s="88"/>
      <c r="C695" s="88"/>
      <c r="D695" s="88"/>
      <c r="E695" s="88"/>
      <c r="F695" s="8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88"/>
      <c r="B696" s="88"/>
      <c r="C696" s="88"/>
      <c r="D696" s="88"/>
      <c r="E696" s="88"/>
      <c r="F696" s="8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88"/>
      <c r="B697" s="88"/>
      <c r="C697" s="88"/>
      <c r="D697" s="88"/>
      <c r="E697" s="88"/>
      <c r="F697" s="8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88"/>
      <c r="B698" s="88"/>
      <c r="C698" s="88"/>
      <c r="D698" s="88"/>
      <c r="E698" s="88"/>
      <c r="F698" s="8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88"/>
      <c r="B699" s="88"/>
      <c r="C699" s="88"/>
      <c r="D699" s="88"/>
      <c r="E699" s="88"/>
      <c r="F699" s="8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88"/>
      <c r="B700" s="88"/>
      <c r="C700" s="88"/>
      <c r="D700" s="88"/>
      <c r="E700" s="88"/>
      <c r="F700" s="8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88"/>
      <c r="B701" s="88"/>
      <c r="C701" s="88"/>
      <c r="D701" s="88"/>
      <c r="E701" s="88"/>
      <c r="F701" s="8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88"/>
      <c r="B702" s="88"/>
      <c r="C702" s="88"/>
      <c r="D702" s="88"/>
      <c r="E702" s="88"/>
      <c r="F702" s="8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88"/>
      <c r="B703" s="88"/>
      <c r="C703" s="88"/>
      <c r="D703" s="88"/>
      <c r="E703" s="88"/>
      <c r="F703" s="8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88"/>
      <c r="B704" s="88"/>
      <c r="C704" s="88"/>
      <c r="D704" s="88"/>
      <c r="E704" s="88"/>
      <c r="F704" s="8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88"/>
      <c r="B705" s="88"/>
      <c r="C705" s="88"/>
      <c r="D705" s="88"/>
      <c r="E705" s="88"/>
      <c r="F705" s="8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88"/>
      <c r="B706" s="88"/>
      <c r="C706" s="88"/>
      <c r="D706" s="88"/>
      <c r="E706" s="88"/>
      <c r="F706" s="8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88"/>
      <c r="B707" s="88"/>
      <c r="C707" s="88"/>
      <c r="D707" s="88"/>
      <c r="E707" s="88"/>
      <c r="F707" s="8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88"/>
      <c r="B708" s="88"/>
      <c r="C708" s="88"/>
      <c r="D708" s="88"/>
      <c r="E708" s="88"/>
      <c r="F708" s="8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88"/>
      <c r="B709" s="88"/>
      <c r="C709" s="88"/>
      <c r="D709" s="88"/>
      <c r="E709" s="88"/>
      <c r="F709" s="8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88"/>
      <c r="B710" s="88"/>
      <c r="C710" s="88"/>
      <c r="D710" s="88"/>
      <c r="E710" s="88"/>
      <c r="F710" s="8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88"/>
      <c r="B711" s="88"/>
      <c r="C711" s="88"/>
      <c r="D711" s="88"/>
      <c r="E711" s="88"/>
      <c r="F711" s="8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88"/>
      <c r="B712" s="88"/>
      <c r="C712" s="88"/>
      <c r="D712" s="88"/>
      <c r="E712" s="88"/>
      <c r="F712" s="8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88"/>
      <c r="B713" s="88"/>
      <c r="C713" s="88"/>
      <c r="D713" s="88"/>
      <c r="E713" s="88"/>
      <c r="F713" s="8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88"/>
      <c r="B714" s="88"/>
      <c r="C714" s="88"/>
      <c r="D714" s="88"/>
      <c r="E714" s="88"/>
      <c r="F714" s="8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88"/>
      <c r="B715" s="88"/>
      <c r="C715" s="88"/>
      <c r="D715" s="88"/>
      <c r="E715" s="88"/>
      <c r="F715" s="8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88"/>
      <c r="B716" s="88"/>
      <c r="C716" s="88"/>
      <c r="D716" s="88"/>
      <c r="E716" s="88"/>
      <c r="F716" s="8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88"/>
      <c r="B717" s="88"/>
      <c r="C717" s="88"/>
      <c r="D717" s="88"/>
      <c r="E717" s="88"/>
      <c r="F717" s="8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88"/>
      <c r="B718" s="88"/>
      <c r="C718" s="88"/>
      <c r="D718" s="88"/>
      <c r="E718" s="88"/>
      <c r="F718" s="8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88"/>
      <c r="B719" s="88"/>
      <c r="C719" s="88"/>
      <c r="D719" s="88"/>
      <c r="E719" s="88"/>
      <c r="F719" s="8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88"/>
      <c r="B720" s="88"/>
      <c r="C720" s="88"/>
      <c r="D720" s="88"/>
      <c r="E720" s="88"/>
      <c r="F720" s="8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88"/>
      <c r="B721" s="88"/>
      <c r="C721" s="88"/>
      <c r="D721" s="88"/>
      <c r="E721" s="88"/>
      <c r="F721" s="8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88"/>
      <c r="B722" s="88"/>
      <c r="C722" s="88"/>
      <c r="D722" s="88"/>
      <c r="E722" s="88"/>
      <c r="F722" s="8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88"/>
      <c r="B723" s="88"/>
      <c r="C723" s="88"/>
      <c r="D723" s="88"/>
      <c r="E723" s="88"/>
      <c r="F723" s="8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88"/>
      <c r="B724" s="88"/>
      <c r="C724" s="88"/>
      <c r="D724" s="88"/>
      <c r="E724" s="88"/>
      <c r="F724" s="8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88"/>
      <c r="B725" s="88"/>
      <c r="C725" s="88"/>
      <c r="D725" s="88"/>
      <c r="E725" s="88"/>
      <c r="F725" s="8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88"/>
      <c r="B726" s="88"/>
      <c r="C726" s="88"/>
      <c r="D726" s="88"/>
      <c r="E726" s="88"/>
      <c r="F726" s="8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88"/>
      <c r="B727" s="88"/>
      <c r="C727" s="88"/>
      <c r="D727" s="88"/>
      <c r="E727" s="88"/>
      <c r="F727" s="8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88"/>
      <c r="B728" s="88"/>
      <c r="C728" s="88"/>
      <c r="D728" s="88"/>
      <c r="E728" s="88"/>
      <c r="F728" s="8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88"/>
      <c r="B729" s="88"/>
      <c r="C729" s="88"/>
      <c r="D729" s="88"/>
      <c r="E729" s="88"/>
      <c r="F729" s="8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88"/>
      <c r="B730" s="88"/>
      <c r="C730" s="88"/>
      <c r="D730" s="88"/>
      <c r="E730" s="88"/>
      <c r="F730" s="8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88"/>
      <c r="B731" s="88"/>
      <c r="C731" s="88"/>
      <c r="D731" s="88"/>
      <c r="E731" s="88"/>
      <c r="F731" s="8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88"/>
      <c r="B732" s="88"/>
      <c r="C732" s="88"/>
      <c r="D732" s="88"/>
      <c r="E732" s="88"/>
      <c r="F732" s="8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88"/>
      <c r="B733" s="88"/>
      <c r="C733" s="88"/>
      <c r="D733" s="88"/>
      <c r="E733" s="88"/>
      <c r="F733" s="8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88"/>
      <c r="B734" s="88"/>
      <c r="C734" s="88"/>
      <c r="D734" s="88"/>
      <c r="E734" s="88"/>
      <c r="F734" s="8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88"/>
      <c r="B735" s="88"/>
      <c r="C735" s="88"/>
      <c r="D735" s="88"/>
      <c r="E735" s="88"/>
      <c r="F735" s="8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88"/>
      <c r="B736" s="88"/>
      <c r="C736" s="88"/>
      <c r="D736" s="88"/>
      <c r="E736" s="88"/>
      <c r="F736" s="8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88"/>
      <c r="B737" s="88"/>
      <c r="C737" s="88"/>
      <c r="D737" s="88"/>
      <c r="E737" s="88"/>
      <c r="F737" s="8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88"/>
      <c r="B738" s="88"/>
      <c r="C738" s="88"/>
      <c r="D738" s="88"/>
      <c r="E738" s="88"/>
      <c r="F738" s="8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88"/>
      <c r="B739" s="88"/>
      <c r="C739" s="88"/>
      <c r="D739" s="88"/>
      <c r="E739" s="88"/>
      <c r="F739" s="8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88"/>
      <c r="B740" s="88"/>
      <c r="C740" s="88"/>
      <c r="D740" s="88"/>
      <c r="E740" s="88"/>
      <c r="F740" s="8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88"/>
      <c r="B741" s="88"/>
      <c r="C741" s="88"/>
      <c r="D741" s="88"/>
      <c r="E741" s="88"/>
      <c r="F741" s="8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88"/>
      <c r="B742" s="88"/>
      <c r="C742" s="88"/>
      <c r="D742" s="88"/>
      <c r="E742" s="88"/>
      <c r="F742" s="8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88"/>
      <c r="B743" s="88"/>
      <c r="C743" s="88"/>
      <c r="D743" s="88"/>
      <c r="E743" s="88"/>
      <c r="F743" s="8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88"/>
      <c r="B744" s="88"/>
      <c r="C744" s="88"/>
      <c r="D744" s="88"/>
      <c r="E744" s="88"/>
      <c r="F744" s="8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88"/>
      <c r="B745" s="88"/>
      <c r="C745" s="88"/>
      <c r="D745" s="88"/>
      <c r="E745" s="88"/>
      <c r="F745" s="8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88"/>
      <c r="B746" s="88"/>
      <c r="C746" s="88"/>
      <c r="D746" s="88"/>
      <c r="E746" s="88"/>
      <c r="F746" s="8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88"/>
      <c r="B747" s="88"/>
      <c r="C747" s="88"/>
      <c r="D747" s="88"/>
      <c r="E747" s="88"/>
      <c r="F747" s="8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88"/>
      <c r="B748" s="88"/>
      <c r="C748" s="88"/>
      <c r="D748" s="88"/>
      <c r="E748" s="88"/>
      <c r="F748" s="8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88"/>
      <c r="B749" s="88"/>
      <c r="C749" s="88"/>
      <c r="D749" s="88"/>
      <c r="E749" s="88"/>
      <c r="F749" s="8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88"/>
      <c r="B750" s="88"/>
      <c r="C750" s="88"/>
      <c r="D750" s="88"/>
      <c r="E750" s="88"/>
      <c r="F750" s="8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88"/>
      <c r="B751" s="88"/>
      <c r="C751" s="88"/>
      <c r="D751" s="88"/>
      <c r="E751" s="88"/>
      <c r="F751" s="8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88"/>
      <c r="B752" s="88"/>
      <c r="C752" s="88"/>
      <c r="D752" s="88"/>
      <c r="E752" s="88"/>
      <c r="F752" s="8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88"/>
      <c r="B753" s="88"/>
      <c r="C753" s="88"/>
      <c r="D753" s="88"/>
      <c r="E753" s="88"/>
      <c r="F753" s="8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88"/>
      <c r="B754" s="88"/>
      <c r="C754" s="88"/>
      <c r="D754" s="88"/>
      <c r="E754" s="88"/>
      <c r="F754" s="8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88"/>
      <c r="B755" s="88"/>
      <c r="C755" s="88"/>
      <c r="D755" s="88"/>
      <c r="E755" s="88"/>
      <c r="F755" s="8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88"/>
      <c r="B756" s="88"/>
      <c r="C756" s="88"/>
      <c r="D756" s="88"/>
      <c r="E756" s="88"/>
      <c r="F756" s="8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88"/>
      <c r="B757" s="88"/>
      <c r="C757" s="88"/>
      <c r="D757" s="88"/>
      <c r="E757" s="88"/>
      <c r="F757" s="8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88"/>
      <c r="B758" s="88"/>
      <c r="C758" s="88"/>
      <c r="D758" s="88"/>
      <c r="E758" s="88"/>
      <c r="F758" s="8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88"/>
      <c r="B759" s="88"/>
      <c r="C759" s="88"/>
      <c r="D759" s="88"/>
      <c r="E759" s="88"/>
      <c r="F759" s="8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88"/>
      <c r="B760" s="88"/>
      <c r="C760" s="88"/>
      <c r="D760" s="88"/>
      <c r="E760" s="88"/>
      <c r="F760" s="8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88"/>
      <c r="B761" s="88"/>
      <c r="C761" s="88"/>
      <c r="D761" s="88"/>
      <c r="E761" s="88"/>
      <c r="F761" s="8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88"/>
      <c r="B762" s="88"/>
      <c r="C762" s="88"/>
      <c r="D762" s="88"/>
      <c r="E762" s="88"/>
      <c r="F762" s="8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88"/>
      <c r="B763" s="88"/>
      <c r="C763" s="88"/>
      <c r="D763" s="88"/>
      <c r="E763" s="88"/>
      <c r="F763" s="8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88"/>
      <c r="B764" s="88"/>
      <c r="C764" s="88"/>
      <c r="D764" s="88"/>
      <c r="E764" s="88"/>
      <c r="F764" s="8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88"/>
      <c r="B765" s="88"/>
      <c r="C765" s="88"/>
      <c r="D765" s="88"/>
      <c r="E765" s="88"/>
      <c r="F765" s="8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88"/>
      <c r="B766" s="88"/>
      <c r="C766" s="88"/>
      <c r="D766" s="88"/>
      <c r="E766" s="88"/>
      <c r="F766" s="8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88"/>
      <c r="B767" s="88"/>
      <c r="C767" s="88"/>
      <c r="D767" s="88"/>
      <c r="E767" s="88"/>
      <c r="F767" s="8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88"/>
      <c r="B768" s="88"/>
      <c r="C768" s="88"/>
      <c r="D768" s="88"/>
      <c r="E768" s="88"/>
      <c r="F768" s="8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88"/>
      <c r="B769" s="88"/>
      <c r="C769" s="88"/>
      <c r="D769" s="88"/>
      <c r="E769" s="88"/>
      <c r="F769" s="8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88"/>
      <c r="B770" s="88"/>
      <c r="C770" s="88"/>
      <c r="D770" s="88"/>
      <c r="E770" s="88"/>
      <c r="F770" s="8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88"/>
      <c r="B771" s="88"/>
      <c r="C771" s="88"/>
      <c r="D771" s="88"/>
      <c r="E771" s="88"/>
      <c r="F771" s="8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88"/>
      <c r="B772" s="88"/>
      <c r="C772" s="88"/>
      <c r="D772" s="88"/>
      <c r="E772" s="88"/>
      <c r="F772" s="8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88"/>
      <c r="B773" s="88"/>
      <c r="C773" s="88"/>
      <c r="D773" s="88"/>
      <c r="E773" s="88"/>
      <c r="F773" s="8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88"/>
      <c r="B774" s="88"/>
      <c r="C774" s="88"/>
      <c r="D774" s="88"/>
      <c r="E774" s="88"/>
      <c r="F774" s="8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88"/>
      <c r="B775" s="88"/>
      <c r="C775" s="88"/>
      <c r="D775" s="88"/>
      <c r="E775" s="88"/>
      <c r="F775" s="8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88"/>
      <c r="B776" s="88"/>
      <c r="C776" s="88"/>
      <c r="D776" s="88"/>
      <c r="E776" s="88"/>
      <c r="F776" s="8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88"/>
      <c r="B777" s="88"/>
      <c r="C777" s="88"/>
      <c r="D777" s="88"/>
      <c r="E777" s="88"/>
      <c r="F777" s="8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88"/>
      <c r="B778" s="88"/>
      <c r="C778" s="88"/>
      <c r="D778" s="88"/>
      <c r="E778" s="88"/>
      <c r="F778" s="8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88"/>
      <c r="B779" s="88"/>
      <c r="C779" s="88"/>
      <c r="D779" s="88"/>
      <c r="E779" s="88"/>
      <c r="F779" s="8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88"/>
      <c r="B780" s="88"/>
      <c r="C780" s="88"/>
      <c r="D780" s="88"/>
      <c r="E780" s="88"/>
      <c r="F780" s="8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88"/>
      <c r="B781" s="88"/>
      <c r="C781" s="88"/>
      <c r="D781" s="88"/>
      <c r="E781" s="88"/>
      <c r="F781" s="8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88"/>
      <c r="B782" s="88"/>
      <c r="C782" s="88"/>
      <c r="D782" s="88"/>
      <c r="E782" s="88"/>
      <c r="F782" s="8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88"/>
      <c r="B783" s="88"/>
      <c r="C783" s="88"/>
      <c r="D783" s="88"/>
      <c r="E783" s="88"/>
      <c r="F783" s="8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88"/>
      <c r="B784" s="88"/>
      <c r="C784" s="88"/>
      <c r="D784" s="88"/>
      <c r="E784" s="88"/>
      <c r="F784" s="8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88"/>
      <c r="B785" s="88"/>
      <c r="C785" s="88"/>
      <c r="D785" s="88"/>
      <c r="E785" s="88"/>
      <c r="F785" s="8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88"/>
      <c r="B786" s="88"/>
      <c r="C786" s="88"/>
      <c r="D786" s="88"/>
      <c r="E786" s="88"/>
      <c r="F786" s="8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88"/>
      <c r="B787" s="88"/>
      <c r="C787" s="88"/>
      <c r="D787" s="88"/>
      <c r="E787" s="88"/>
      <c r="F787" s="8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88"/>
      <c r="B788" s="88"/>
      <c r="C788" s="88"/>
      <c r="D788" s="88"/>
      <c r="E788" s="88"/>
      <c r="F788" s="8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88"/>
      <c r="B789" s="88"/>
      <c r="C789" s="88"/>
      <c r="D789" s="88"/>
      <c r="E789" s="88"/>
      <c r="F789" s="8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88"/>
      <c r="B790" s="88"/>
      <c r="C790" s="88"/>
      <c r="D790" s="88"/>
      <c r="E790" s="88"/>
      <c r="F790" s="8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88"/>
      <c r="B791" s="88"/>
      <c r="C791" s="88"/>
      <c r="D791" s="88"/>
      <c r="E791" s="88"/>
      <c r="F791" s="8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88"/>
      <c r="B792" s="88"/>
      <c r="C792" s="88"/>
      <c r="D792" s="88"/>
      <c r="E792" s="88"/>
      <c r="F792" s="8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88"/>
      <c r="B793" s="88"/>
      <c r="C793" s="88"/>
      <c r="D793" s="88"/>
      <c r="E793" s="88"/>
      <c r="F793" s="8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88"/>
      <c r="B794" s="88"/>
      <c r="C794" s="88"/>
      <c r="D794" s="88"/>
      <c r="E794" s="88"/>
      <c r="F794" s="8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88"/>
      <c r="B795" s="88"/>
      <c r="C795" s="88"/>
      <c r="D795" s="88"/>
      <c r="E795" s="88"/>
      <c r="F795" s="8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88"/>
      <c r="B796" s="88"/>
      <c r="C796" s="88"/>
      <c r="D796" s="88"/>
      <c r="E796" s="88"/>
      <c r="F796" s="8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88"/>
      <c r="B797" s="88"/>
      <c r="C797" s="88"/>
      <c r="D797" s="88"/>
      <c r="E797" s="88"/>
      <c r="F797" s="8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88"/>
      <c r="B798" s="88"/>
      <c r="C798" s="88"/>
      <c r="D798" s="88"/>
      <c r="E798" s="88"/>
      <c r="F798" s="8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88"/>
      <c r="B799" s="88"/>
      <c r="C799" s="88"/>
      <c r="D799" s="88"/>
      <c r="E799" s="88"/>
      <c r="F799" s="8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88"/>
      <c r="B800" s="88"/>
      <c r="C800" s="88"/>
      <c r="D800" s="88"/>
      <c r="E800" s="88"/>
      <c r="F800" s="8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88"/>
      <c r="B801" s="88"/>
      <c r="C801" s="88"/>
      <c r="D801" s="88"/>
      <c r="E801" s="88"/>
      <c r="F801" s="8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88"/>
      <c r="B802" s="88"/>
      <c r="C802" s="88"/>
      <c r="D802" s="88"/>
      <c r="E802" s="88"/>
      <c r="F802" s="8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88"/>
      <c r="B803" s="88"/>
      <c r="C803" s="88"/>
      <c r="D803" s="88"/>
      <c r="E803" s="88"/>
      <c r="F803" s="8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88"/>
      <c r="B804" s="88"/>
      <c r="C804" s="88"/>
      <c r="D804" s="88"/>
      <c r="E804" s="88"/>
      <c r="F804" s="8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88"/>
      <c r="B805" s="88"/>
      <c r="C805" s="88"/>
      <c r="D805" s="88"/>
      <c r="E805" s="88"/>
      <c r="F805" s="8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88"/>
      <c r="B806" s="88"/>
      <c r="C806" s="88"/>
      <c r="D806" s="88"/>
      <c r="E806" s="88"/>
      <c r="F806" s="8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88"/>
      <c r="B807" s="88"/>
      <c r="C807" s="88"/>
      <c r="D807" s="88"/>
      <c r="E807" s="88"/>
      <c r="F807" s="8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88"/>
      <c r="B808" s="88"/>
      <c r="C808" s="88"/>
      <c r="D808" s="88"/>
      <c r="E808" s="88"/>
      <c r="F808" s="8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88"/>
      <c r="B809" s="88"/>
      <c r="C809" s="88"/>
      <c r="D809" s="88"/>
      <c r="E809" s="88"/>
      <c r="F809" s="8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88"/>
      <c r="B810" s="88"/>
      <c r="C810" s="88"/>
      <c r="D810" s="88"/>
      <c r="E810" s="88"/>
      <c r="F810" s="8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88"/>
      <c r="B811" s="88"/>
      <c r="C811" s="88"/>
      <c r="D811" s="88"/>
      <c r="E811" s="88"/>
      <c r="F811" s="8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88"/>
      <c r="B812" s="88"/>
      <c r="C812" s="88"/>
      <c r="D812" s="88"/>
      <c r="E812" s="88"/>
      <c r="F812" s="8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88"/>
      <c r="B813" s="88"/>
      <c r="C813" s="88"/>
      <c r="D813" s="88"/>
      <c r="E813" s="88"/>
      <c r="F813" s="8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88"/>
      <c r="B814" s="88"/>
      <c r="C814" s="88"/>
      <c r="D814" s="88"/>
      <c r="E814" s="88"/>
      <c r="F814" s="8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88"/>
      <c r="B815" s="88"/>
      <c r="C815" s="88"/>
      <c r="D815" s="88"/>
      <c r="E815" s="88"/>
      <c r="F815" s="8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88"/>
      <c r="B816" s="88"/>
      <c r="C816" s="88"/>
      <c r="D816" s="88"/>
      <c r="E816" s="88"/>
      <c r="F816" s="8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88"/>
      <c r="B817" s="88"/>
      <c r="C817" s="88"/>
      <c r="D817" s="88"/>
      <c r="E817" s="88"/>
      <c r="F817" s="8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88"/>
      <c r="B818" s="88"/>
      <c r="C818" s="88"/>
      <c r="D818" s="88"/>
      <c r="E818" s="88"/>
      <c r="F818" s="8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88"/>
      <c r="B819" s="88"/>
      <c r="C819" s="88"/>
      <c r="D819" s="88"/>
      <c r="E819" s="88"/>
      <c r="F819" s="8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88"/>
      <c r="B820" s="88"/>
      <c r="C820" s="88"/>
      <c r="D820" s="88"/>
      <c r="E820" s="88"/>
      <c r="F820" s="8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88"/>
      <c r="B821" s="88"/>
      <c r="C821" s="88"/>
      <c r="D821" s="88"/>
      <c r="E821" s="88"/>
      <c r="F821" s="8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88"/>
      <c r="B822" s="88"/>
      <c r="C822" s="88"/>
      <c r="D822" s="88"/>
      <c r="E822" s="88"/>
      <c r="F822" s="8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88"/>
      <c r="B823" s="88"/>
      <c r="C823" s="88"/>
      <c r="D823" s="88"/>
      <c r="E823" s="88"/>
      <c r="F823" s="8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88"/>
      <c r="B824" s="88"/>
      <c r="C824" s="88"/>
      <c r="D824" s="88"/>
      <c r="E824" s="88"/>
      <c r="F824" s="8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88"/>
      <c r="B825" s="88"/>
      <c r="C825" s="88"/>
      <c r="D825" s="88"/>
      <c r="E825" s="88"/>
      <c r="F825" s="8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88"/>
      <c r="B826" s="88"/>
      <c r="C826" s="88"/>
      <c r="D826" s="88"/>
      <c r="E826" s="88"/>
      <c r="F826" s="8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88"/>
      <c r="B827" s="88"/>
      <c r="C827" s="88"/>
      <c r="D827" s="88"/>
      <c r="E827" s="88"/>
      <c r="F827" s="8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88"/>
      <c r="B828" s="88"/>
      <c r="C828" s="88"/>
      <c r="D828" s="88"/>
      <c r="E828" s="88"/>
      <c r="F828" s="8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88"/>
      <c r="B829" s="88"/>
      <c r="C829" s="88"/>
      <c r="D829" s="88"/>
      <c r="E829" s="88"/>
      <c r="F829" s="8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88"/>
      <c r="B830" s="88"/>
      <c r="C830" s="88"/>
      <c r="D830" s="88"/>
      <c r="E830" s="88"/>
      <c r="F830" s="8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88"/>
      <c r="B831" s="88"/>
      <c r="C831" s="88"/>
      <c r="D831" s="88"/>
      <c r="E831" s="88"/>
      <c r="F831" s="8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88"/>
      <c r="B832" s="88"/>
      <c r="C832" s="88"/>
      <c r="D832" s="88"/>
      <c r="E832" s="88"/>
      <c r="F832" s="8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88"/>
      <c r="B833" s="88"/>
      <c r="C833" s="88"/>
      <c r="D833" s="88"/>
      <c r="E833" s="88"/>
      <c r="F833" s="8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88"/>
      <c r="B834" s="88"/>
      <c r="C834" s="88"/>
      <c r="D834" s="88"/>
      <c r="E834" s="88"/>
      <c r="F834" s="8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88"/>
      <c r="B835" s="88"/>
      <c r="C835" s="88"/>
      <c r="D835" s="88"/>
      <c r="E835" s="88"/>
      <c r="F835" s="8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88"/>
      <c r="B836" s="88"/>
      <c r="C836" s="88"/>
      <c r="D836" s="88"/>
      <c r="E836" s="88"/>
      <c r="F836" s="8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88"/>
      <c r="B837" s="88"/>
      <c r="C837" s="88"/>
      <c r="D837" s="88"/>
      <c r="E837" s="88"/>
      <c r="F837" s="8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88"/>
      <c r="B838" s="88"/>
      <c r="C838" s="88"/>
      <c r="D838" s="88"/>
      <c r="E838" s="88"/>
      <c r="F838" s="8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88"/>
      <c r="B839" s="88"/>
      <c r="C839" s="88"/>
      <c r="D839" s="88"/>
      <c r="E839" s="88"/>
      <c r="F839" s="8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88"/>
      <c r="B840" s="88"/>
      <c r="C840" s="88"/>
      <c r="D840" s="88"/>
      <c r="E840" s="88"/>
      <c r="F840" s="8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88"/>
      <c r="B841" s="88"/>
      <c r="C841" s="88"/>
      <c r="D841" s="88"/>
      <c r="E841" s="88"/>
      <c r="F841" s="8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88"/>
      <c r="B842" s="88"/>
      <c r="C842" s="88"/>
      <c r="D842" s="88"/>
      <c r="E842" s="88"/>
      <c r="F842" s="8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88"/>
      <c r="B843" s="88"/>
      <c r="C843" s="88"/>
      <c r="D843" s="88"/>
      <c r="E843" s="88"/>
      <c r="F843" s="8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88"/>
      <c r="B844" s="88"/>
      <c r="C844" s="88"/>
      <c r="D844" s="88"/>
      <c r="E844" s="88"/>
      <c r="F844" s="8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88"/>
      <c r="B845" s="88"/>
      <c r="C845" s="88"/>
      <c r="D845" s="88"/>
      <c r="E845" s="88"/>
      <c r="F845" s="8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88"/>
      <c r="B846" s="88"/>
      <c r="C846" s="88"/>
      <c r="D846" s="88"/>
      <c r="E846" s="88"/>
      <c r="F846" s="8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88"/>
      <c r="B847" s="88"/>
      <c r="C847" s="88"/>
      <c r="D847" s="88"/>
      <c r="E847" s="88"/>
      <c r="F847" s="8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88"/>
      <c r="B848" s="88"/>
      <c r="C848" s="88"/>
      <c r="D848" s="88"/>
      <c r="E848" s="88"/>
      <c r="F848" s="8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88"/>
      <c r="B849" s="88"/>
      <c r="C849" s="88"/>
      <c r="D849" s="88"/>
      <c r="E849" s="88"/>
      <c r="F849" s="8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88"/>
      <c r="B850" s="88"/>
      <c r="C850" s="88"/>
      <c r="D850" s="88"/>
      <c r="E850" s="88"/>
      <c r="F850" s="8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88"/>
      <c r="B851" s="88"/>
      <c r="C851" s="88"/>
      <c r="D851" s="88"/>
      <c r="E851" s="88"/>
      <c r="F851" s="8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88"/>
      <c r="B852" s="88"/>
      <c r="C852" s="88"/>
      <c r="D852" s="88"/>
      <c r="E852" s="88"/>
      <c r="F852" s="8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88"/>
      <c r="B853" s="88"/>
      <c r="C853" s="88"/>
      <c r="D853" s="88"/>
      <c r="E853" s="88"/>
      <c r="F853" s="8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88"/>
      <c r="B854" s="88"/>
      <c r="C854" s="88"/>
      <c r="D854" s="88"/>
      <c r="E854" s="88"/>
      <c r="F854" s="8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88"/>
      <c r="B855" s="88"/>
      <c r="C855" s="88"/>
      <c r="D855" s="88"/>
      <c r="E855" s="88"/>
      <c r="F855" s="8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88"/>
      <c r="B856" s="88"/>
      <c r="C856" s="88"/>
      <c r="D856" s="88"/>
      <c r="E856" s="88"/>
      <c r="F856" s="8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88"/>
      <c r="B857" s="88"/>
      <c r="C857" s="88"/>
      <c r="D857" s="88"/>
      <c r="E857" s="88"/>
      <c r="F857" s="8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88"/>
      <c r="B858" s="88"/>
      <c r="C858" s="88"/>
      <c r="D858" s="88"/>
      <c r="E858" s="88"/>
      <c r="F858" s="8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88"/>
      <c r="B859" s="88"/>
      <c r="C859" s="88"/>
      <c r="D859" s="88"/>
      <c r="E859" s="88"/>
      <c r="F859" s="8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88"/>
      <c r="B860" s="88"/>
      <c r="C860" s="88"/>
      <c r="D860" s="88"/>
      <c r="E860" s="88"/>
      <c r="F860" s="8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88"/>
      <c r="B861" s="88"/>
      <c r="C861" s="88"/>
      <c r="D861" s="88"/>
      <c r="E861" s="88"/>
      <c r="F861" s="8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88"/>
      <c r="B862" s="88"/>
      <c r="C862" s="88"/>
      <c r="D862" s="88"/>
      <c r="E862" s="88"/>
      <c r="F862" s="8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88"/>
      <c r="B863" s="88"/>
      <c r="C863" s="88"/>
      <c r="D863" s="88"/>
      <c r="E863" s="88"/>
      <c r="F863" s="8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88"/>
      <c r="B864" s="88"/>
      <c r="C864" s="88"/>
      <c r="D864" s="88"/>
      <c r="E864" s="88"/>
      <c r="F864" s="8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88"/>
      <c r="B865" s="88"/>
      <c r="C865" s="88"/>
      <c r="D865" s="88"/>
      <c r="E865" s="88"/>
      <c r="F865" s="8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88"/>
      <c r="B866" s="88"/>
      <c r="C866" s="88"/>
      <c r="D866" s="88"/>
      <c r="E866" s="88"/>
      <c r="F866" s="8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88"/>
      <c r="B867" s="88"/>
      <c r="C867" s="88"/>
      <c r="D867" s="88"/>
      <c r="E867" s="88"/>
      <c r="F867" s="8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88"/>
      <c r="B868" s="88"/>
      <c r="C868" s="88"/>
      <c r="D868" s="88"/>
      <c r="E868" s="88"/>
      <c r="F868" s="8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88"/>
      <c r="B869" s="88"/>
      <c r="C869" s="88"/>
      <c r="D869" s="88"/>
      <c r="E869" s="88"/>
      <c r="F869" s="8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88"/>
      <c r="B870" s="88"/>
      <c r="C870" s="88"/>
      <c r="D870" s="88"/>
      <c r="E870" s="88"/>
      <c r="F870" s="8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88"/>
      <c r="B871" s="88"/>
      <c r="C871" s="88"/>
      <c r="D871" s="88"/>
      <c r="E871" s="88"/>
      <c r="F871" s="8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88"/>
      <c r="B872" s="88"/>
      <c r="C872" s="88"/>
      <c r="D872" s="88"/>
      <c r="E872" s="88"/>
      <c r="F872" s="8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88"/>
      <c r="B873" s="88"/>
      <c r="C873" s="88"/>
      <c r="D873" s="88"/>
      <c r="E873" s="88"/>
      <c r="F873" s="8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88"/>
      <c r="B874" s="88"/>
      <c r="C874" s="88"/>
      <c r="D874" s="88"/>
      <c r="E874" s="88"/>
      <c r="F874" s="8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88"/>
      <c r="B875" s="88"/>
      <c r="C875" s="88"/>
      <c r="D875" s="88"/>
      <c r="E875" s="88"/>
      <c r="F875" s="8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88"/>
      <c r="B876" s="88"/>
      <c r="C876" s="88"/>
      <c r="D876" s="88"/>
      <c r="E876" s="88"/>
      <c r="F876" s="8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88"/>
      <c r="B877" s="88"/>
      <c r="C877" s="88"/>
      <c r="D877" s="88"/>
      <c r="E877" s="88"/>
      <c r="F877" s="8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88"/>
      <c r="B878" s="88"/>
      <c r="C878" s="88"/>
      <c r="D878" s="88"/>
      <c r="E878" s="88"/>
      <c r="F878" s="8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88"/>
      <c r="B879" s="88"/>
      <c r="C879" s="88"/>
      <c r="D879" s="88"/>
      <c r="E879" s="88"/>
      <c r="F879" s="8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88"/>
      <c r="B880" s="88"/>
      <c r="C880" s="88"/>
      <c r="D880" s="88"/>
      <c r="E880" s="88"/>
      <c r="F880" s="8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88"/>
      <c r="B881" s="88"/>
      <c r="C881" s="88"/>
      <c r="D881" s="88"/>
      <c r="E881" s="88"/>
      <c r="F881" s="8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88"/>
      <c r="B882" s="88"/>
      <c r="C882" s="88"/>
      <c r="D882" s="88"/>
      <c r="E882" s="88"/>
      <c r="F882" s="8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88"/>
      <c r="B883" s="88"/>
      <c r="C883" s="88"/>
      <c r="D883" s="88"/>
      <c r="E883" s="88"/>
      <c r="F883" s="8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88"/>
      <c r="B884" s="88"/>
      <c r="C884" s="88"/>
      <c r="D884" s="88"/>
      <c r="E884" s="88"/>
      <c r="F884" s="8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88"/>
      <c r="B885" s="88"/>
      <c r="C885" s="88"/>
      <c r="D885" s="88"/>
      <c r="E885" s="88"/>
      <c r="F885" s="8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88"/>
      <c r="B886" s="88"/>
      <c r="C886" s="88"/>
      <c r="D886" s="88"/>
      <c r="E886" s="88"/>
      <c r="F886" s="8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88"/>
      <c r="B887" s="88"/>
      <c r="C887" s="88"/>
      <c r="D887" s="88"/>
      <c r="E887" s="88"/>
      <c r="F887" s="8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88"/>
      <c r="B888" s="88"/>
      <c r="C888" s="88"/>
      <c r="D888" s="88"/>
      <c r="E888" s="88"/>
      <c r="F888" s="8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88"/>
      <c r="B889" s="88"/>
      <c r="C889" s="88"/>
      <c r="D889" s="88"/>
      <c r="E889" s="88"/>
      <c r="F889" s="8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88"/>
      <c r="B890" s="88"/>
      <c r="C890" s="88"/>
      <c r="D890" s="88"/>
      <c r="E890" s="88"/>
      <c r="F890" s="8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88"/>
      <c r="B891" s="88"/>
      <c r="C891" s="88"/>
      <c r="D891" s="88"/>
      <c r="E891" s="88"/>
      <c r="F891" s="8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88"/>
      <c r="B892" s="88"/>
      <c r="C892" s="88"/>
      <c r="D892" s="88"/>
      <c r="E892" s="88"/>
      <c r="F892" s="8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88"/>
      <c r="B893" s="88"/>
      <c r="C893" s="88"/>
      <c r="D893" s="88"/>
      <c r="E893" s="88"/>
      <c r="F893" s="8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88"/>
      <c r="B894" s="88"/>
      <c r="C894" s="88"/>
      <c r="D894" s="88"/>
      <c r="E894" s="88"/>
      <c r="F894" s="8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88"/>
      <c r="B895" s="88"/>
      <c r="C895" s="88"/>
      <c r="D895" s="88"/>
      <c r="E895" s="88"/>
      <c r="F895" s="8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88"/>
      <c r="B896" s="88"/>
      <c r="C896" s="88"/>
      <c r="D896" s="88"/>
      <c r="E896" s="88"/>
      <c r="F896" s="8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88"/>
      <c r="B897" s="88"/>
      <c r="C897" s="88"/>
      <c r="D897" s="88"/>
      <c r="E897" s="88"/>
      <c r="F897" s="8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88"/>
      <c r="B898" s="88"/>
      <c r="C898" s="88"/>
      <c r="D898" s="88"/>
      <c r="E898" s="88"/>
      <c r="F898" s="8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88"/>
      <c r="B899" s="88"/>
      <c r="C899" s="88"/>
      <c r="D899" s="88"/>
      <c r="E899" s="88"/>
      <c r="F899" s="8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88"/>
      <c r="B900" s="88"/>
      <c r="C900" s="88"/>
      <c r="D900" s="88"/>
      <c r="E900" s="88"/>
      <c r="F900" s="8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88"/>
      <c r="B901" s="88"/>
      <c r="C901" s="88"/>
      <c r="D901" s="88"/>
      <c r="E901" s="88"/>
      <c r="F901" s="8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88"/>
      <c r="B902" s="88"/>
      <c r="C902" s="88"/>
      <c r="D902" s="88"/>
      <c r="E902" s="88"/>
      <c r="F902" s="8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88"/>
      <c r="B903" s="88"/>
      <c r="C903" s="88"/>
      <c r="D903" s="88"/>
      <c r="E903" s="88"/>
      <c r="F903" s="8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88"/>
      <c r="B904" s="88"/>
      <c r="C904" s="88"/>
      <c r="D904" s="88"/>
      <c r="E904" s="88"/>
      <c r="F904" s="8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88"/>
      <c r="B905" s="88"/>
      <c r="C905" s="88"/>
      <c r="D905" s="88"/>
      <c r="E905" s="88"/>
      <c r="F905" s="8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88"/>
      <c r="B906" s="88"/>
      <c r="C906" s="88"/>
      <c r="D906" s="88"/>
      <c r="E906" s="88"/>
      <c r="F906" s="8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88"/>
      <c r="B907" s="88"/>
      <c r="C907" s="88"/>
      <c r="D907" s="88"/>
      <c r="E907" s="88"/>
      <c r="F907" s="8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88"/>
      <c r="B908" s="88"/>
      <c r="C908" s="88"/>
      <c r="D908" s="88"/>
      <c r="E908" s="88"/>
      <c r="F908" s="8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88"/>
      <c r="B909" s="88"/>
      <c r="C909" s="88"/>
      <c r="D909" s="88"/>
      <c r="E909" s="88"/>
      <c r="F909" s="8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88"/>
      <c r="B910" s="88"/>
      <c r="C910" s="88"/>
      <c r="D910" s="88"/>
      <c r="E910" s="88"/>
      <c r="F910" s="8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88"/>
      <c r="B911" s="88"/>
      <c r="C911" s="88"/>
      <c r="D911" s="88"/>
      <c r="E911" s="88"/>
      <c r="F911" s="8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88"/>
      <c r="B912" s="88"/>
      <c r="C912" s="88"/>
      <c r="D912" s="88"/>
      <c r="E912" s="88"/>
      <c r="F912" s="8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88"/>
      <c r="B913" s="88"/>
      <c r="C913" s="88"/>
      <c r="D913" s="88"/>
      <c r="E913" s="88"/>
      <c r="F913" s="8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88"/>
      <c r="B914" s="88"/>
      <c r="C914" s="88"/>
      <c r="D914" s="88"/>
      <c r="E914" s="88"/>
      <c r="F914" s="8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88"/>
      <c r="B915" s="88"/>
      <c r="C915" s="88"/>
      <c r="D915" s="88"/>
      <c r="E915" s="88"/>
      <c r="F915" s="8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88"/>
      <c r="B916" s="88"/>
      <c r="C916" s="88"/>
      <c r="D916" s="88"/>
      <c r="E916" s="88"/>
      <c r="F916" s="8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88"/>
      <c r="B917" s="88"/>
      <c r="C917" s="88"/>
      <c r="D917" s="88"/>
      <c r="E917" s="88"/>
      <c r="F917" s="8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88"/>
      <c r="B918" s="88"/>
      <c r="C918" s="88"/>
      <c r="D918" s="88"/>
      <c r="E918" s="88"/>
      <c r="F918" s="8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88"/>
      <c r="B919" s="88"/>
      <c r="C919" s="88"/>
      <c r="D919" s="88"/>
      <c r="E919" s="88"/>
      <c r="F919" s="8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88"/>
      <c r="B920" s="88"/>
      <c r="C920" s="88"/>
      <c r="D920" s="88"/>
      <c r="E920" s="88"/>
      <c r="F920" s="8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88"/>
      <c r="B921" s="88"/>
      <c r="C921" s="88"/>
      <c r="D921" s="88"/>
      <c r="E921" s="88"/>
      <c r="F921" s="8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88"/>
      <c r="B922" s="88"/>
      <c r="C922" s="88"/>
      <c r="D922" s="88"/>
      <c r="E922" s="88"/>
      <c r="F922" s="8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88"/>
      <c r="B923" s="88"/>
      <c r="C923" s="88"/>
      <c r="D923" s="88"/>
      <c r="E923" s="88"/>
      <c r="F923" s="8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88"/>
      <c r="B924" s="88"/>
      <c r="C924" s="88"/>
      <c r="D924" s="88"/>
      <c r="E924" s="88"/>
      <c r="F924" s="8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88"/>
      <c r="B925" s="88"/>
      <c r="C925" s="88"/>
      <c r="D925" s="88"/>
      <c r="E925" s="88"/>
      <c r="F925" s="8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88"/>
      <c r="B926" s="88"/>
      <c r="C926" s="88"/>
      <c r="D926" s="88"/>
      <c r="E926" s="88"/>
      <c r="F926" s="8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88"/>
      <c r="B927" s="88"/>
      <c r="C927" s="88"/>
      <c r="D927" s="88"/>
      <c r="E927" s="88"/>
      <c r="F927" s="8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88"/>
      <c r="B928" s="88"/>
      <c r="C928" s="88"/>
      <c r="D928" s="88"/>
      <c r="E928" s="88"/>
      <c r="F928" s="8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88"/>
      <c r="B929" s="88"/>
      <c r="C929" s="88"/>
      <c r="D929" s="88"/>
      <c r="E929" s="88"/>
      <c r="F929" s="8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88"/>
      <c r="B930" s="88"/>
      <c r="C930" s="88"/>
      <c r="D930" s="88"/>
      <c r="E930" s="88"/>
      <c r="F930" s="8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88"/>
      <c r="B931" s="88"/>
      <c r="C931" s="88"/>
      <c r="D931" s="88"/>
      <c r="E931" s="88"/>
      <c r="F931" s="8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88"/>
      <c r="B932" s="88"/>
      <c r="C932" s="88"/>
      <c r="D932" s="88"/>
      <c r="E932" s="88"/>
      <c r="F932" s="8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88"/>
      <c r="B933" s="88"/>
      <c r="C933" s="88"/>
      <c r="D933" s="88"/>
      <c r="E933" s="88"/>
      <c r="F933" s="8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88"/>
      <c r="B934" s="88"/>
      <c r="C934" s="88"/>
      <c r="D934" s="88"/>
      <c r="E934" s="88"/>
      <c r="F934" s="8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88"/>
      <c r="B935" s="88"/>
      <c r="C935" s="88"/>
      <c r="D935" s="88"/>
      <c r="E935" s="88"/>
      <c r="F935" s="8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88"/>
      <c r="B936" s="88"/>
      <c r="C936" s="88"/>
      <c r="D936" s="88"/>
      <c r="E936" s="88"/>
      <c r="F936" s="8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88"/>
      <c r="B937" s="88"/>
      <c r="C937" s="88"/>
      <c r="D937" s="88"/>
      <c r="E937" s="88"/>
      <c r="F937" s="8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88"/>
      <c r="B938" s="88"/>
      <c r="C938" s="88"/>
      <c r="D938" s="88"/>
      <c r="E938" s="88"/>
      <c r="F938" s="8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88"/>
      <c r="B939" s="88"/>
      <c r="C939" s="88"/>
      <c r="D939" s="88"/>
      <c r="E939" s="88"/>
      <c r="F939" s="8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88"/>
      <c r="B940" s="88"/>
      <c r="C940" s="88"/>
      <c r="D940" s="88"/>
      <c r="E940" s="88"/>
      <c r="F940" s="8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88"/>
      <c r="B941" s="88"/>
      <c r="C941" s="88"/>
      <c r="D941" s="88"/>
      <c r="E941" s="88"/>
      <c r="F941" s="8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88"/>
      <c r="B942" s="88"/>
      <c r="C942" s="88"/>
      <c r="D942" s="88"/>
      <c r="E942" s="88"/>
      <c r="F942" s="8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88"/>
      <c r="B943" s="88"/>
      <c r="C943" s="88"/>
      <c r="D943" s="88"/>
      <c r="E943" s="88"/>
      <c r="F943" s="8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88"/>
      <c r="B944" s="88"/>
      <c r="C944" s="88"/>
      <c r="D944" s="88"/>
      <c r="E944" s="88"/>
      <c r="F944" s="8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88"/>
      <c r="B945" s="88"/>
      <c r="C945" s="88"/>
      <c r="D945" s="88"/>
      <c r="E945" s="88"/>
      <c r="F945" s="8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88"/>
      <c r="B946" s="88"/>
      <c r="C946" s="88"/>
      <c r="D946" s="88"/>
      <c r="E946" s="88"/>
      <c r="F946" s="8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88"/>
      <c r="B947" s="88"/>
      <c r="C947" s="88"/>
      <c r="D947" s="88"/>
      <c r="E947" s="88"/>
      <c r="F947" s="8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88"/>
      <c r="B948" s="88"/>
      <c r="C948" s="88"/>
      <c r="D948" s="88"/>
      <c r="E948" s="88"/>
      <c r="F948" s="8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88"/>
      <c r="B949" s="88"/>
      <c r="C949" s="88"/>
      <c r="D949" s="88"/>
      <c r="E949" s="88"/>
      <c r="F949" s="8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88"/>
      <c r="B950" s="88"/>
      <c r="C950" s="88"/>
      <c r="D950" s="88"/>
      <c r="E950" s="88"/>
      <c r="F950" s="8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88"/>
      <c r="B951" s="88"/>
      <c r="C951" s="88"/>
      <c r="D951" s="88"/>
      <c r="E951" s="88"/>
      <c r="F951" s="8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88"/>
      <c r="B952" s="88"/>
      <c r="C952" s="88"/>
      <c r="D952" s="88"/>
      <c r="E952" s="88"/>
      <c r="F952" s="8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88"/>
      <c r="B953" s="88"/>
      <c r="C953" s="88"/>
      <c r="D953" s="88"/>
      <c r="E953" s="88"/>
      <c r="F953" s="8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88"/>
      <c r="B954" s="88"/>
      <c r="C954" s="88"/>
      <c r="D954" s="88"/>
      <c r="E954" s="88"/>
      <c r="F954" s="8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88"/>
      <c r="B955" s="88"/>
      <c r="C955" s="88"/>
      <c r="D955" s="88"/>
      <c r="E955" s="88"/>
      <c r="F955" s="8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88"/>
      <c r="B956" s="88"/>
      <c r="C956" s="88"/>
      <c r="D956" s="88"/>
      <c r="E956" s="88"/>
      <c r="F956" s="8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88"/>
      <c r="B957" s="88"/>
      <c r="C957" s="88"/>
      <c r="D957" s="88"/>
      <c r="E957" s="88"/>
      <c r="F957" s="8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88"/>
      <c r="B958" s="88"/>
      <c r="C958" s="88"/>
      <c r="D958" s="88"/>
      <c r="E958" s="88"/>
      <c r="F958" s="8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88"/>
      <c r="B959" s="88"/>
      <c r="C959" s="88"/>
      <c r="D959" s="88"/>
      <c r="E959" s="88"/>
      <c r="F959" s="8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88"/>
      <c r="B960" s="88"/>
      <c r="C960" s="88"/>
      <c r="D960" s="88"/>
      <c r="E960" s="88"/>
      <c r="F960" s="8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88"/>
      <c r="B961" s="88"/>
      <c r="C961" s="88"/>
      <c r="D961" s="88"/>
      <c r="E961" s="88"/>
      <c r="F961" s="8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88"/>
      <c r="B962" s="88"/>
      <c r="C962" s="88"/>
      <c r="D962" s="88"/>
      <c r="E962" s="88"/>
      <c r="F962" s="8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88"/>
      <c r="B963" s="88"/>
      <c r="C963" s="88"/>
      <c r="D963" s="88"/>
      <c r="E963" s="88"/>
      <c r="F963" s="8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88"/>
      <c r="B964" s="88"/>
      <c r="C964" s="88"/>
      <c r="D964" s="88"/>
      <c r="E964" s="88"/>
      <c r="F964" s="8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88"/>
      <c r="B965" s="88"/>
      <c r="C965" s="88"/>
      <c r="D965" s="88"/>
      <c r="E965" s="88"/>
      <c r="F965" s="8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88"/>
      <c r="B966" s="88"/>
      <c r="C966" s="88"/>
      <c r="D966" s="88"/>
      <c r="E966" s="88"/>
      <c r="F966" s="8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88"/>
      <c r="B967" s="88"/>
      <c r="C967" s="88"/>
      <c r="D967" s="88"/>
      <c r="E967" s="88"/>
      <c r="F967" s="8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88"/>
      <c r="B968" s="88"/>
      <c r="C968" s="88"/>
      <c r="D968" s="88"/>
      <c r="E968" s="88"/>
      <c r="F968" s="8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88"/>
      <c r="B969" s="88"/>
      <c r="C969" s="88"/>
      <c r="D969" s="88"/>
      <c r="E969" s="88"/>
      <c r="F969" s="8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88"/>
      <c r="B970" s="88"/>
      <c r="C970" s="88"/>
      <c r="D970" s="88"/>
      <c r="E970" s="88"/>
      <c r="F970" s="8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88"/>
      <c r="B971" s="88"/>
      <c r="C971" s="88"/>
      <c r="D971" s="88"/>
      <c r="E971" s="88"/>
      <c r="F971" s="8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88"/>
      <c r="B972" s="88"/>
      <c r="C972" s="88"/>
      <c r="D972" s="88"/>
      <c r="E972" s="88"/>
      <c r="F972" s="8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88"/>
      <c r="B973" s="88"/>
      <c r="C973" s="88"/>
      <c r="D973" s="88"/>
      <c r="E973" s="88"/>
      <c r="F973" s="8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88"/>
      <c r="B974" s="88"/>
      <c r="C974" s="88"/>
      <c r="D974" s="88"/>
      <c r="E974" s="88"/>
      <c r="F974" s="8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88"/>
      <c r="B975" s="88"/>
      <c r="C975" s="88"/>
      <c r="D975" s="88"/>
      <c r="E975" s="88"/>
      <c r="F975" s="8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88"/>
      <c r="B976" s="88"/>
      <c r="C976" s="88"/>
      <c r="D976" s="88"/>
      <c r="E976" s="88"/>
      <c r="F976" s="8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88"/>
      <c r="B977" s="88"/>
      <c r="C977" s="88"/>
      <c r="D977" s="88"/>
      <c r="E977" s="88"/>
      <c r="F977" s="8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88"/>
      <c r="B978" s="88"/>
      <c r="C978" s="88"/>
      <c r="D978" s="88"/>
      <c r="E978" s="88"/>
      <c r="F978" s="8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88"/>
      <c r="B979" s="88"/>
      <c r="C979" s="88"/>
      <c r="D979" s="88"/>
      <c r="E979" s="88"/>
      <c r="F979" s="8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88"/>
      <c r="B980" s="88"/>
      <c r="C980" s="88"/>
      <c r="D980" s="88"/>
      <c r="E980" s="88"/>
      <c r="F980" s="8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88"/>
      <c r="B981" s="88"/>
      <c r="C981" s="88"/>
      <c r="D981" s="88"/>
      <c r="E981" s="88"/>
      <c r="F981" s="8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88"/>
      <c r="B982" s="88"/>
      <c r="C982" s="88"/>
      <c r="D982" s="88"/>
      <c r="E982" s="88"/>
      <c r="F982" s="8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88"/>
      <c r="B983" s="88"/>
      <c r="C983" s="88"/>
      <c r="D983" s="88"/>
      <c r="E983" s="88"/>
      <c r="F983" s="8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88"/>
      <c r="B984" s="88"/>
      <c r="C984" s="88"/>
      <c r="D984" s="88"/>
      <c r="E984" s="88"/>
      <c r="F984" s="8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88"/>
      <c r="B985" s="88"/>
      <c r="C985" s="88"/>
      <c r="D985" s="88"/>
      <c r="E985" s="88"/>
      <c r="F985" s="8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88"/>
      <c r="B986" s="88"/>
      <c r="C986" s="88"/>
      <c r="D986" s="88"/>
      <c r="E986" s="88"/>
      <c r="F986" s="8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88"/>
      <c r="B987" s="88"/>
      <c r="C987" s="88"/>
      <c r="D987" s="88"/>
      <c r="E987" s="88"/>
      <c r="F987" s="8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88"/>
      <c r="B988" s="88"/>
      <c r="C988" s="88"/>
      <c r="D988" s="88"/>
      <c r="E988" s="88"/>
      <c r="F988" s="8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88"/>
      <c r="B989" s="88"/>
      <c r="C989" s="88"/>
      <c r="D989" s="88"/>
      <c r="E989" s="88"/>
      <c r="F989" s="8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88"/>
      <c r="B990" s="88"/>
      <c r="C990" s="88"/>
      <c r="D990" s="88"/>
      <c r="E990" s="88"/>
      <c r="F990" s="8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88"/>
      <c r="B991" s="88"/>
      <c r="C991" s="88"/>
      <c r="D991" s="88"/>
      <c r="E991" s="88"/>
      <c r="F991" s="8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88"/>
      <c r="B992" s="88"/>
      <c r="C992" s="88"/>
      <c r="D992" s="88"/>
      <c r="E992" s="88"/>
      <c r="F992" s="8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88"/>
      <c r="B993" s="88"/>
      <c r="C993" s="88"/>
      <c r="D993" s="88"/>
      <c r="E993" s="88"/>
      <c r="F993" s="8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88"/>
      <c r="B994" s="88"/>
      <c r="C994" s="88"/>
      <c r="D994" s="88"/>
      <c r="E994" s="88"/>
      <c r="F994" s="8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88"/>
      <c r="B995" s="88"/>
      <c r="C995" s="88"/>
      <c r="D995" s="88"/>
      <c r="E995" s="88"/>
      <c r="F995" s="8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88"/>
      <c r="B996" s="88"/>
      <c r="C996" s="88"/>
      <c r="D996" s="88"/>
      <c r="E996" s="88"/>
      <c r="F996" s="8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88"/>
      <c r="B997" s="88"/>
      <c r="C997" s="88"/>
      <c r="D997" s="88"/>
      <c r="E997" s="88"/>
      <c r="F997" s="8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88"/>
      <c r="B998" s="88"/>
      <c r="C998" s="88"/>
      <c r="D998" s="88"/>
      <c r="E998" s="88"/>
      <c r="F998" s="8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88"/>
      <c r="B999" s="88"/>
      <c r="C999" s="88"/>
      <c r="D999" s="88"/>
      <c r="E999" s="88"/>
      <c r="F999" s="8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88"/>
      <c r="B1000" s="88"/>
      <c r="C1000" s="88"/>
      <c r="D1000" s="88"/>
      <c r="E1000" s="88"/>
      <c r="F1000" s="8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88"/>
      <c r="B1001" s="88"/>
      <c r="C1001" s="88"/>
      <c r="D1001" s="88"/>
      <c r="E1001" s="88"/>
      <c r="F1001" s="88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88"/>
      <c r="B1002" s="88"/>
      <c r="C1002" s="88"/>
      <c r="D1002" s="88"/>
      <c r="E1002" s="88"/>
      <c r="F1002" s="88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88"/>
      <c r="B1003" s="88"/>
      <c r="C1003" s="88"/>
      <c r="D1003" s="88"/>
      <c r="E1003" s="88"/>
      <c r="F1003" s="88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88"/>
      <c r="B1004" s="88"/>
      <c r="C1004" s="88"/>
      <c r="D1004" s="88"/>
      <c r="E1004" s="88"/>
      <c r="F1004" s="88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88"/>
      <c r="B1005" s="88"/>
      <c r="C1005" s="88"/>
      <c r="D1005" s="88"/>
      <c r="E1005" s="88"/>
      <c r="F1005" s="88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mergeCells count="1">
    <mergeCell ref="B4:G4"/>
  </mergeCells>
  <pageMargins left="0.78749999999999998" right="0.78749999999999998" top="1.0249999999999999" bottom="1.0249999999999999" header="0" footer="0"/>
  <pageSetup paperSize="9" scale="18" orientation="landscape" r:id="rId1"/>
  <headerFooter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67"/>
  <sheetViews>
    <sheetView topLeftCell="A26" zoomScale="132" zoomScaleNormal="132" workbookViewId="0">
      <selection activeCell="H42" sqref="B42:H42"/>
    </sheetView>
  </sheetViews>
  <sheetFormatPr baseColWidth="10" defaultColWidth="9.1640625" defaultRowHeight="12" x14ac:dyDescent="0.15"/>
  <cols>
    <col min="1" max="1" width="3.5" style="773" customWidth="1"/>
    <col min="2" max="2" width="34" style="773" bestFit="1" customWidth="1"/>
    <col min="3" max="3" width="13.5" style="773" customWidth="1"/>
    <col min="4" max="4" width="14.83203125" style="773" customWidth="1"/>
    <col min="5" max="5" width="12.5" style="773" customWidth="1"/>
    <col min="6" max="6" width="29.33203125" style="773" bestFit="1" customWidth="1"/>
    <col min="7" max="7" width="24.33203125" style="773" customWidth="1"/>
    <col min="8" max="8" width="16.5" style="773" bestFit="1" customWidth="1"/>
    <col min="9" max="9" width="14.83203125" style="773" bestFit="1" customWidth="1"/>
    <col min="10" max="10" width="19.33203125" style="773" bestFit="1" customWidth="1"/>
    <col min="11" max="11" width="19.5" style="773" bestFit="1" customWidth="1"/>
    <col min="12" max="12" width="17.83203125" style="773" customWidth="1"/>
    <col min="13" max="13" width="14.6640625" style="773" customWidth="1"/>
    <col min="14" max="14" width="15" style="773" bestFit="1" customWidth="1"/>
    <col min="15" max="15" width="9.1640625" style="773"/>
    <col min="16" max="16" width="10.1640625" style="773" bestFit="1" customWidth="1"/>
    <col min="17" max="16384" width="9.1640625" style="773"/>
  </cols>
  <sheetData>
    <row r="2" spans="1:13" x14ac:dyDescent="0.15">
      <c r="B2" s="774"/>
      <c r="C2" s="775" t="s">
        <v>96</v>
      </c>
      <c r="D2" s="775" t="s">
        <v>608</v>
      </c>
      <c r="E2" s="775" t="s">
        <v>97</v>
      </c>
      <c r="F2" s="775" t="s">
        <v>751</v>
      </c>
      <c r="G2" s="775" t="s">
        <v>98</v>
      </c>
      <c r="H2" s="775" t="s">
        <v>99</v>
      </c>
      <c r="I2" s="775" t="s">
        <v>30</v>
      </c>
      <c r="J2" s="775" t="s">
        <v>609</v>
      </c>
      <c r="K2" s="775" t="s">
        <v>610</v>
      </c>
      <c r="L2" s="775" t="s">
        <v>100</v>
      </c>
      <c r="M2" s="775" t="s">
        <v>101</v>
      </c>
    </row>
    <row r="3" spans="1:13" x14ac:dyDescent="0.15">
      <c r="A3" s="773">
        <v>1</v>
      </c>
      <c r="B3" s="776" t="s">
        <v>14</v>
      </c>
      <c r="C3" s="777"/>
      <c r="D3" s="777">
        <f>+'[1]1_AUTOSTRADE'!B23+'[1]1_AUTOSTRADE'!B22</f>
        <v>0</v>
      </c>
      <c r="E3" s="777">
        <f>+'[1]1_AUTOSTRADE'!B25</f>
        <v>0</v>
      </c>
      <c r="F3" s="777">
        <f>'[1]1_AUTOSTRADE'!B24</f>
        <v>37270</v>
      </c>
      <c r="G3" s="777">
        <f>+'[1]1_AUTOSTRADE'!B26+'[1]1_AUTOSTRADE'!B27</f>
        <v>2525.56</v>
      </c>
      <c r="H3" s="777">
        <v>0</v>
      </c>
      <c r="I3" s="778">
        <f t="shared" ref="I3:I30" si="0">SUM(C3:H3)</f>
        <v>39795.56</v>
      </c>
      <c r="J3" s="778"/>
      <c r="K3" s="778">
        <f>+'[1]1_AUTOSTRADE'!B21</f>
        <v>39800</v>
      </c>
      <c r="L3" s="778">
        <f t="shared" ref="L3:L14" si="1">SUM(J3:K3)</f>
        <v>39800</v>
      </c>
      <c r="M3" s="777">
        <f t="shared" ref="M3:M30" si="2">+L3-I3</f>
        <v>4.4400000000023283</v>
      </c>
    </row>
    <row r="4" spans="1:13" x14ac:dyDescent="0.15">
      <c r="A4" s="773">
        <f>A3+1</f>
        <v>2</v>
      </c>
      <c r="B4" s="779" t="s">
        <v>1056</v>
      </c>
      <c r="C4" s="780">
        <f>+'[1]2_DRT_11774-23_ANTINCENDIO'!C35</f>
        <v>0</v>
      </c>
      <c r="D4" s="780">
        <f>+'[1]2_DRT_11774-23_ANTINCENDIO'!C33</f>
        <v>9851.4500000000007</v>
      </c>
      <c r="E4" s="780">
        <f>'[1]2_DRT_11774-23_ANTINCENDIO'!C34</f>
        <v>148.55000000000001</v>
      </c>
      <c r="F4" s="780"/>
      <c r="G4" s="780"/>
      <c r="H4" s="780">
        <f>+'[1]2_DRT_11774-23_ANTINCENDIO'!C36</f>
        <v>0</v>
      </c>
      <c r="I4" s="781">
        <f t="shared" si="0"/>
        <v>10000</v>
      </c>
      <c r="J4" s="781">
        <v>0</v>
      </c>
      <c r="K4" s="781">
        <f>+'[1]2_DRT_11774-23_ANTINCENDIO'!C29</f>
        <v>10000</v>
      </c>
      <c r="L4" s="781">
        <f t="shared" si="1"/>
        <v>10000</v>
      </c>
      <c r="M4" s="780">
        <f t="shared" si="2"/>
        <v>0</v>
      </c>
    </row>
    <row r="5" spans="1:13" x14ac:dyDescent="0.15">
      <c r="A5" s="773">
        <f t="shared" ref="A5:A29" si="3">+A4+1</f>
        <v>3</v>
      </c>
      <c r="B5" s="779" t="s">
        <v>1057</v>
      </c>
      <c r="C5" s="780">
        <f>'[1]3_DRT-11954-23-CARTAFORESTALE'!C35</f>
        <v>1906</v>
      </c>
      <c r="D5" s="780">
        <f>+'[1]3_DRT-11954-23-CARTAFORESTALE'!C32+'[1]3_DRT-11954-23-CARTAFORESTALE'!C33+'[1]3_DRT-11954-23-CARTAFORESTALE'!C37</f>
        <v>6000</v>
      </c>
      <c r="E5" s="780">
        <f>+'[1]3_DRT-11954-23-CARTAFORESTALE'!C34</f>
        <v>0</v>
      </c>
      <c r="F5" s="780"/>
      <c r="G5" s="780"/>
      <c r="H5" s="780">
        <f>+'[1]3_DRT-11954-23-CARTAFORESTALE'!C36</f>
        <v>0</v>
      </c>
      <c r="I5" s="781">
        <f t="shared" si="0"/>
        <v>7906</v>
      </c>
      <c r="J5" s="781">
        <f>+'[1]3_DRT-11954-23-CARTAFORESTALE'!C30</f>
        <v>0</v>
      </c>
      <c r="K5" s="781">
        <f>+'[1]3_DRT-11954-23-CARTAFORESTALE'!C29</f>
        <v>7906</v>
      </c>
      <c r="L5" s="781">
        <f t="shared" si="1"/>
        <v>7906</v>
      </c>
      <c r="M5" s="780">
        <f t="shared" si="2"/>
        <v>0</v>
      </c>
    </row>
    <row r="6" spans="1:13" x14ac:dyDescent="0.15">
      <c r="A6" s="773">
        <f t="shared" si="3"/>
        <v>4</v>
      </c>
      <c r="B6" s="776" t="s">
        <v>1058</v>
      </c>
      <c r="C6" s="777">
        <f>'[1]4_WBGIS-CB3'!B26</f>
        <v>0</v>
      </c>
      <c r="D6" s="777">
        <f>'[1]4_WBGIS-CB3'!B25</f>
        <v>0</v>
      </c>
      <c r="E6" s="777">
        <f>'[1]4_WBGIS-CB3'!B25</f>
        <v>0</v>
      </c>
      <c r="F6" s="777">
        <f>+'[1]4_WBGIS-CB3'!B24</f>
        <v>11450</v>
      </c>
      <c r="G6" s="777">
        <f>+'[1]4_WBGIS-CB3'!B27+'[1]4_WBGIS-CB3'!B28</f>
        <v>825.01985599999989</v>
      </c>
      <c r="H6" s="777"/>
      <c r="I6" s="778">
        <f t="shared" si="0"/>
        <v>12275.019855999999</v>
      </c>
      <c r="J6" s="778"/>
      <c r="K6" s="778">
        <f>+'[1]4_WBGIS-CB3'!B21</f>
        <v>12295.08</v>
      </c>
      <c r="L6" s="778">
        <f t="shared" si="1"/>
        <v>12295.08</v>
      </c>
      <c r="M6" s="777">
        <f t="shared" si="2"/>
        <v>20.060144000000946</v>
      </c>
    </row>
    <row r="7" spans="1:13" x14ac:dyDescent="0.15">
      <c r="A7" s="773">
        <f t="shared" si="3"/>
        <v>5</v>
      </c>
      <c r="B7" s="779" t="s">
        <v>1126</v>
      </c>
      <c r="C7" s="780">
        <f>+'[1]5_DRT_6154-23_UMBRIA'!C35</f>
        <v>0</v>
      </c>
      <c r="D7" s="780">
        <f>+'[1]5_DRT_6154-23_UMBRIA'!C36+'[1]5_DRT_6154-23_UMBRIA'!C32+'[1]5_DRT_6154-23_UMBRIA'!C33</f>
        <v>8660</v>
      </c>
      <c r="E7" s="780">
        <f>+'[1]5_DRT_6154-23_UMBRIA'!C34</f>
        <v>2423.25</v>
      </c>
      <c r="F7" s="780"/>
      <c r="G7" s="780"/>
      <c r="H7" s="780">
        <f>+'[1]5_DRT_6154-23_UMBRIA'!C37</f>
        <v>0</v>
      </c>
      <c r="I7" s="781">
        <f t="shared" si="0"/>
        <v>11083.25</v>
      </c>
      <c r="J7" s="781">
        <f>+'[1]5_DRT_6154-23_UMBRIA'!C30</f>
        <v>0</v>
      </c>
      <c r="K7" s="781">
        <f>+'[1]5_DRT_6154-23_UMBRIA'!C29</f>
        <v>11083.25</v>
      </c>
      <c r="L7" s="781">
        <f t="shared" si="1"/>
        <v>11083.25</v>
      </c>
      <c r="M7" s="780">
        <f t="shared" si="2"/>
        <v>0</v>
      </c>
    </row>
    <row r="8" spans="1:13" x14ac:dyDescent="0.15">
      <c r="A8" s="773">
        <f t="shared" si="3"/>
        <v>6</v>
      </c>
      <c r="B8" s="782" t="s">
        <v>46</v>
      </c>
      <c r="C8" s="783">
        <f>0</f>
        <v>0</v>
      </c>
      <c r="D8" s="783">
        <f>'[1]6_SINAPSI'!C36</f>
        <v>18215.82</v>
      </c>
      <c r="E8" s="783">
        <f>'[1]6_SINAPSI'!C33</f>
        <v>1487.99</v>
      </c>
      <c r="F8" s="783">
        <f>'[1]6_SINAPSI'!C32+'[1]6_SINAPSI'!C31</f>
        <v>59691.270000000004</v>
      </c>
      <c r="G8" s="783"/>
      <c r="H8" s="783">
        <f>+'[1]6_SINAPSI'!C35</f>
        <v>23246.794999999998</v>
      </c>
      <c r="I8" s="784">
        <f t="shared" si="0"/>
        <v>102641.875</v>
      </c>
      <c r="J8" s="784">
        <f>+'[1]6_SINAPSI'!C30</f>
        <v>23246.794999999998</v>
      </c>
      <c r="K8" s="784">
        <f>+'[1]6_SINAPSI'!C29</f>
        <v>79395.083000000115</v>
      </c>
      <c r="L8" s="784">
        <f t="shared" si="1"/>
        <v>102641.87800000011</v>
      </c>
      <c r="M8" s="783">
        <f t="shared" si="2"/>
        <v>3.0000001133885235E-3</v>
      </c>
    </row>
    <row r="9" spans="1:13" x14ac:dyDescent="0.15">
      <c r="A9" s="773">
        <f t="shared" si="3"/>
        <v>7</v>
      </c>
      <c r="B9" s="779" t="s">
        <v>1059</v>
      </c>
      <c r="C9" s="780">
        <f>'[1]7_DRT_9869-22-TERRITORIO'!J33</f>
        <v>9638.51</v>
      </c>
      <c r="D9" s="780">
        <f>+'[1]7_DRT_9869-22-TERRITORIO'!C32+'[1]7_DRT_9869-22-TERRITORIO'!C33+'[1]7_DRT_9869-22-TERRITORIO'!I37</f>
        <v>111808.87000000001</v>
      </c>
      <c r="E9" s="780">
        <f>+'[1]7_DRT_9869-22-TERRITORIO'!C34</f>
        <v>1085.6300000000001</v>
      </c>
      <c r="F9" s="780">
        <v>0</v>
      </c>
      <c r="G9" s="780"/>
      <c r="H9" s="780">
        <f>'[1]7_DRT_9869-22-TERRITORIO'!C30</f>
        <v>2434.7285000000006</v>
      </c>
      <c r="I9" s="781">
        <f t="shared" si="0"/>
        <v>124967.73850000001</v>
      </c>
      <c r="J9" s="781">
        <f>+'[1]7_DRT_9869-22-TERRITORIO'!C30</f>
        <v>2434.7285000000006</v>
      </c>
      <c r="K9" s="781">
        <f>+'[1]7_DRT_9869-22-TERRITORIO'!C29</f>
        <v>122533.2</v>
      </c>
      <c r="L9" s="781">
        <f t="shared" si="1"/>
        <v>124967.92849999999</v>
      </c>
      <c r="M9" s="780">
        <f t="shared" si="2"/>
        <v>0.18999999998777639</v>
      </c>
    </row>
    <row r="10" spans="1:13" x14ac:dyDescent="0.15">
      <c r="A10" s="773">
        <f t="shared" si="3"/>
        <v>8</v>
      </c>
      <c r="B10" s="782" t="s">
        <v>755</v>
      </c>
      <c r="C10" s="783">
        <f>'[1]8_SCORE'!C36</f>
        <v>33.18</v>
      </c>
      <c r="D10" s="783">
        <f>'[1]8_SCORE'!C32</f>
        <v>11665.3</v>
      </c>
      <c r="E10" s="783">
        <f>'[1]8_SCORE'!C34</f>
        <v>11625.58</v>
      </c>
      <c r="F10" s="783">
        <f>+'[1]8_SCORE'!C35+'[1]8_SCORE'!C31</f>
        <v>14230</v>
      </c>
      <c r="G10" s="783">
        <v>0</v>
      </c>
      <c r="H10" s="783">
        <f>'[1]8_SCORE'!C30</f>
        <v>952.64</v>
      </c>
      <c r="I10" s="784">
        <f>SUM(C10:H10)</f>
        <v>38506.699999999997</v>
      </c>
      <c r="J10" s="784">
        <f t="shared" ref="J10:J29" si="4">H10</f>
        <v>952.64</v>
      </c>
      <c r="K10" s="784">
        <f>'[1]8_SCORE'!C29</f>
        <v>37644.06</v>
      </c>
      <c r="L10" s="784">
        <f t="shared" si="1"/>
        <v>38596.699999999997</v>
      </c>
      <c r="M10" s="783">
        <f t="shared" si="2"/>
        <v>90</v>
      </c>
    </row>
    <row r="11" spans="1:13" x14ac:dyDescent="0.15">
      <c r="A11" s="773">
        <f t="shared" si="3"/>
        <v>9</v>
      </c>
      <c r="B11" s="779" t="s">
        <v>1060</v>
      </c>
      <c r="C11" s="780">
        <v>0</v>
      </c>
      <c r="D11" s="780">
        <f>+'[1]9_DRT_5995-23_AGROMETEO'!C32+'[1]9_DRT_5995-23_AGROMETEO'!C33+'[1]9_DRT_5995-23_AGROMETEO'!C35</f>
        <v>15938</v>
      </c>
      <c r="E11" s="780">
        <f>+'[1]9_DRT_5995-23_AGROMETEO'!C34</f>
        <v>62</v>
      </c>
      <c r="F11" s="780">
        <v>0</v>
      </c>
      <c r="G11" s="780">
        <v>0</v>
      </c>
      <c r="H11" s="780">
        <v>0</v>
      </c>
      <c r="I11" s="781">
        <f t="shared" si="0"/>
        <v>16000</v>
      </c>
      <c r="J11" s="781">
        <f t="shared" si="4"/>
        <v>0</v>
      </c>
      <c r="K11" s="781">
        <f>+'[1]9_DRT_5995-23_AGROMETEO'!C29</f>
        <v>16000</v>
      </c>
      <c r="L11" s="781">
        <f t="shared" si="1"/>
        <v>16000</v>
      </c>
      <c r="M11" s="780">
        <f t="shared" si="2"/>
        <v>0</v>
      </c>
    </row>
    <row r="12" spans="1:13" x14ac:dyDescent="0.15">
      <c r="A12" s="773">
        <f t="shared" si="3"/>
        <v>10</v>
      </c>
      <c r="B12" s="785" t="s">
        <v>896</v>
      </c>
      <c r="C12" s="786">
        <v>0</v>
      </c>
      <c r="D12" s="786">
        <f>+'[1]10_DAGRI-UNIFI'!C31+'[1]10_DAGRI-UNIFI'!C34</f>
        <v>14552.4</v>
      </c>
      <c r="E12" s="786">
        <f>+'[1]10_DAGRI-UNIFI'!C33</f>
        <v>713.76</v>
      </c>
      <c r="F12" s="786">
        <f>'[1]10_DAGRI-UNIFI'!C32</f>
        <v>33240</v>
      </c>
      <c r="G12" s="786">
        <v>0</v>
      </c>
      <c r="H12" s="786">
        <f>+'[1]10_DAGRI-UNIFI'!C35</f>
        <v>0</v>
      </c>
      <c r="I12" s="787">
        <f t="shared" si="0"/>
        <v>48506.16</v>
      </c>
      <c r="J12" s="787"/>
      <c r="K12" s="787">
        <f>+'[1]10_DAGRI-UNIFI'!C29</f>
        <v>48506.16</v>
      </c>
      <c r="L12" s="787">
        <f t="shared" si="1"/>
        <v>48506.16</v>
      </c>
      <c r="M12" s="786">
        <f t="shared" si="2"/>
        <v>0</v>
      </c>
    </row>
    <row r="13" spans="1:13" x14ac:dyDescent="0.15">
      <c r="A13" s="773">
        <f t="shared" si="3"/>
        <v>11</v>
      </c>
      <c r="B13" s="776" t="s">
        <v>1061</v>
      </c>
      <c r="C13" s="777"/>
      <c r="D13" s="777"/>
      <c r="E13" s="777"/>
      <c r="F13" s="777">
        <f>+'[1]11_INAF-STARMET'!B24</f>
        <v>0</v>
      </c>
      <c r="G13" s="777">
        <f>+'[1]11_INAF-STARMET'!B26+'[1]11_INAF-STARMET'!B27</f>
        <v>0</v>
      </c>
      <c r="H13" s="777"/>
      <c r="I13" s="778">
        <f t="shared" si="0"/>
        <v>0</v>
      </c>
      <c r="J13" s="778"/>
      <c r="K13" s="778">
        <f>+'[1]11_INAF-STARMET'!B21</f>
        <v>0</v>
      </c>
      <c r="L13" s="778">
        <f t="shared" si="1"/>
        <v>0</v>
      </c>
      <c r="M13" s="777">
        <f t="shared" si="2"/>
        <v>0</v>
      </c>
    </row>
    <row r="14" spans="1:13" x14ac:dyDescent="0.15">
      <c r="A14" s="773">
        <f t="shared" si="3"/>
        <v>12</v>
      </c>
      <c r="B14" s="779" t="s">
        <v>1062</v>
      </c>
      <c r="C14" s="780">
        <f>+'[1]12_DRT_8472-23_VIA'!C35</f>
        <v>0</v>
      </c>
      <c r="D14" s="780">
        <f>+'[1]12_DRT_8472-23_VIA'!C32+'[1]12_DRT_8472-23_VIA'!C33</f>
        <v>10000</v>
      </c>
      <c r="E14" s="780">
        <f>+'[1]12_DRT_8472-23_VIA'!C34</f>
        <v>0</v>
      </c>
      <c r="F14" s="780">
        <v>0</v>
      </c>
      <c r="G14" s="780">
        <v>0</v>
      </c>
      <c r="H14" s="780">
        <v>0</v>
      </c>
      <c r="I14" s="781">
        <f t="shared" si="0"/>
        <v>10000</v>
      </c>
      <c r="J14" s="781"/>
      <c r="K14" s="781">
        <f>+'[1]12_DRT_8472-23_VIA'!C29</f>
        <v>10000</v>
      </c>
      <c r="L14" s="781">
        <f t="shared" si="1"/>
        <v>10000</v>
      </c>
      <c r="M14" s="780">
        <f t="shared" si="2"/>
        <v>0</v>
      </c>
    </row>
    <row r="15" spans="1:13" ht="13" customHeight="1" x14ac:dyDescent="0.15">
      <c r="A15" s="773">
        <f t="shared" si="3"/>
        <v>13</v>
      </c>
      <c r="B15" s="776" t="s">
        <v>893</v>
      </c>
      <c r="C15" s="777"/>
      <c r="D15" s="777">
        <f>+'[1]13_CETENA'!B22+'[1]13_CETENA'!B23</f>
        <v>0</v>
      </c>
      <c r="E15" s="777">
        <f>'[1]13_CETENA'!B25</f>
        <v>0</v>
      </c>
      <c r="F15" s="777">
        <f>+'[1]13_CETENA'!B24</f>
        <v>4440</v>
      </c>
      <c r="G15" s="777">
        <f>+'[1]13_CETENA'!B26+'[1]13_CETENA'!B27</f>
        <v>306.52019999999999</v>
      </c>
      <c r="H15" s="777"/>
      <c r="I15" s="778">
        <f t="shared" si="0"/>
        <v>4746.5201999999999</v>
      </c>
      <c r="J15" s="778">
        <v>0</v>
      </c>
      <c r="K15" s="778">
        <f>+'[1]13_CETENA'!B21</f>
        <v>4761</v>
      </c>
      <c r="L15" s="778">
        <f t="shared" ref="L15:L30" si="5">+J15+K15</f>
        <v>4761</v>
      </c>
      <c r="M15" s="777">
        <f t="shared" si="2"/>
        <v>14.479800000000068</v>
      </c>
    </row>
    <row r="16" spans="1:13" x14ac:dyDescent="0.15">
      <c r="A16" s="773">
        <f t="shared" si="3"/>
        <v>14</v>
      </c>
      <c r="B16" s="776" t="s">
        <v>897</v>
      </c>
      <c r="C16" s="777"/>
      <c r="D16" s="777"/>
      <c r="E16" s="777"/>
      <c r="F16" s="777">
        <f>'[1]14_NEXT-GEO'!B24</f>
        <v>10000</v>
      </c>
      <c r="G16" s="777">
        <f>'[1]14_NEXT-GEO'!B27+'[1]14_NEXT-GEO'!B28</f>
        <v>740.56</v>
      </c>
      <c r="H16" s="777"/>
      <c r="I16" s="778">
        <f t="shared" si="0"/>
        <v>10740.56</v>
      </c>
      <c r="J16" s="778">
        <v>0</v>
      </c>
      <c r="K16" s="778">
        <f>'[1]14_NEXT-GEO'!B21</f>
        <v>10800</v>
      </c>
      <c r="L16" s="778">
        <f t="shared" si="5"/>
        <v>10800</v>
      </c>
      <c r="M16" s="777">
        <f t="shared" si="2"/>
        <v>59.440000000000509</v>
      </c>
    </row>
    <row r="17" spans="1:13" x14ac:dyDescent="0.15">
      <c r="A17" s="773">
        <f t="shared" si="3"/>
        <v>15</v>
      </c>
      <c r="B17" s="776" t="s">
        <v>1063</v>
      </c>
      <c r="C17" s="777">
        <f>'[1]15_2F-VADOLIGURE'!B26</f>
        <v>0</v>
      </c>
      <c r="D17" s="777">
        <f>'[1]15_2F-VADOLIGURE'!B22+'[1]15_2F-VADOLIGURE'!B23</f>
        <v>0</v>
      </c>
      <c r="E17" s="777">
        <f>'[1]15_2F-VADOLIGURE'!B25</f>
        <v>0</v>
      </c>
      <c r="F17" s="777">
        <f>'[1]15_2F-VADOLIGURE'!B24</f>
        <v>8400</v>
      </c>
      <c r="G17" s="777">
        <f>'[1]15_2F-VADOLIGURE'!B27+'[1]15_2F-VADOLIGURE'!B28</f>
        <v>598.79999999999995</v>
      </c>
      <c r="H17" s="777"/>
      <c r="I17" s="778">
        <f t="shared" si="0"/>
        <v>8998.7999999999993</v>
      </c>
      <c r="J17" s="778">
        <v>0</v>
      </c>
      <c r="K17" s="778">
        <f>'[1]15_2F-VADOLIGURE'!I17</f>
        <v>9000</v>
      </c>
      <c r="L17" s="778">
        <f t="shared" si="5"/>
        <v>9000</v>
      </c>
      <c r="M17" s="777">
        <f t="shared" si="2"/>
        <v>1.2000000000007276</v>
      </c>
    </row>
    <row r="18" spans="1:13" x14ac:dyDescent="0.15">
      <c r="A18" s="773">
        <f t="shared" si="3"/>
        <v>16</v>
      </c>
      <c r="B18" s="782" t="s">
        <v>958</v>
      </c>
      <c r="C18" s="783">
        <f>'[1]16_SINTETIC'!C38</f>
        <v>0</v>
      </c>
      <c r="D18" s="783">
        <f>'[1]16_SINTETIC'!C31</f>
        <v>6306</v>
      </c>
      <c r="E18" s="783">
        <f>'[1]16_SINTETIC'!C34</f>
        <v>2012.04</v>
      </c>
      <c r="F18" s="783">
        <f>'[1]16_SINTETIC'!C35</f>
        <v>0</v>
      </c>
      <c r="G18" s="783">
        <v>0</v>
      </c>
      <c r="H18" s="783">
        <f>'[1]16_SINTETIC'!C30</f>
        <v>0</v>
      </c>
      <c r="I18" s="784">
        <f t="shared" si="0"/>
        <v>8318.0400000000009</v>
      </c>
      <c r="J18" s="784">
        <f t="shared" si="4"/>
        <v>0</v>
      </c>
      <c r="K18" s="784">
        <f>'[1]16_SINTETIC'!C29</f>
        <v>8319</v>
      </c>
      <c r="L18" s="784">
        <f t="shared" si="5"/>
        <v>8319</v>
      </c>
      <c r="M18" s="783">
        <f t="shared" si="2"/>
        <v>0.95999999999912689</v>
      </c>
    </row>
    <row r="19" spans="1:13" x14ac:dyDescent="0.15">
      <c r="A19" s="773">
        <f t="shared" si="3"/>
        <v>17</v>
      </c>
      <c r="B19" s="785" t="s">
        <v>1064</v>
      </c>
      <c r="C19" s="786">
        <f>'[1]17_ACQUACENTRO'!C35</f>
        <v>0</v>
      </c>
      <c r="D19" s="786">
        <f>'[1]17_ACQUACENTRO'!C32</f>
        <v>0</v>
      </c>
      <c r="E19" s="786">
        <f>'[1]17_ACQUACENTRO'!C34</f>
        <v>645.27</v>
      </c>
      <c r="F19" s="786">
        <f>'[1]17_ACQUACENTRO'!C33</f>
        <v>0</v>
      </c>
      <c r="G19" s="786">
        <v>0</v>
      </c>
      <c r="H19" s="786">
        <f>'[1]17_ACQUACENTRO'!C30</f>
        <v>0</v>
      </c>
      <c r="I19" s="787">
        <f t="shared" si="0"/>
        <v>645.27</v>
      </c>
      <c r="J19" s="787">
        <f t="shared" si="4"/>
        <v>0</v>
      </c>
      <c r="K19" s="787">
        <f>'[1]17_ACQUACENTRO'!C29</f>
        <v>646</v>
      </c>
      <c r="L19" s="787">
        <f t="shared" si="5"/>
        <v>646</v>
      </c>
      <c r="M19" s="786">
        <f t="shared" si="2"/>
        <v>0.73000000000001819</v>
      </c>
    </row>
    <row r="20" spans="1:13" x14ac:dyDescent="0.15">
      <c r="A20" s="773">
        <f t="shared" si="3"/>
        <v>18</v>
      </c>
      <c r="B20" s="788" t="s">
        <v>1065</v>
      </c>
      <c r="C20" s="789">
        <f>'[1]18_WORKLIMATE-2'!C34</f>
        <v>0</v>
      </c>
      <c r="D20" s="789">
        <f>'[1]18_WORKLIMATE-2'!C31+'[1]18_WORKLIMATE-2'!C32</f>
        <v>0</v>
      </c>
      <c r="E20" s="789">
        <f>'[1]18_WORKLIMATE-2'!C33</f>
        <v>0</v>
      </c>
      <c r="F20" s="789">
        <v>0</v>
      </c>
      <c r="G20" s="789">
        <v>0</v>
      </c>
      <c r="H20" s="789">
        <f>'[1]18_WORKLIMATE-2'!C30</f>
        <v>0</v>
      </c>
      <c r="I20" s="790">
        <f t="shared" si="0"/>
        <v>0</v>
      </c>
      <c r="J20" s="791">
        <f t="shared" si="4"/>
        <v>0</v>
      </c>
      <c r="K20" s="791">
        <f>'[1]18_WORKLIMATE-2'!C29</f>
        <v>0</v>
      </c>
      <c r="L20" s="790">
        <f t="shared" si="5"/>
        <v>0</v>
      </c>
      <c r="M20" s="792">
        <f t="shared" si="2"/>
        <v>0</v>
      </c>
    </row>
    <row r="21" spans="1:13" x14ac:dyDescent="0.15">
      <c r="A21" s="773">
        <f t="shared" si="3"/>
        <v>19</v>
      </c>
      <c r="B21" s="776" t="s">
        <v>1066</v>
      </c>
      <c r="C21" s="777">
        <f>'[1]19_AGRONOMICA-CB5'!B26</f>
        <v>0</v>
      </c>
      <c r="D21" s="777">
        <f>'[1]19_AGRONOMICA-CB5'!B22+'[1]19_AGRONOMICA-CB5'!B23</f>
        <v>0</v>
      </c>
      <c r="E21" s="777">
        <f>'[1]19_AGRONOMICA-CB5'!B25</f>
        <v>0</v>
      </c>
      <c r="F21" s="777">
        <f>'[1]19_AGRONOMICA-CB5'!B24</f>
        <v>11200</v>
      </c>
      <c r="G21" s="777">
        <f>'[1]19_AGRONOMICA-CB5'!B27+'[1]19_AGRONOMICA-CB5'!B28</f>
        <v>798.4</v>
      </c>
      <c r="H21" s="777"/>
      <c r="I21" s="778">
        <f t="shared" si="0"/>
        <v>11998.4</v>
      </c>
      <c r="J21" s="778">
        <f t="shared" si="4"/>
        <v>0</v>
      </c>
      <c r="K21" s="778">
        <f>'[1]19_AGRONOMICA-CB5'!B21</f>
        <v>12000</v>
      </c>
      <c r="L21" s="778">
        <f t="shared" si="5"/>
        <v>12000</v>
      </c>
      <c r="M21" s="777">
        <f t="shared" si="2"/>
        <v>1.6000000000003638</v>
      </c>
    </row>
    <row r="22" spans="1:13" x14ac:dyDescent="0.15">
      <c r="A22" s="773">
        <f t="shared" si="3"/>
        <v>20</v>
      </c>
      <c r="B22" s="776" t="s">
        <v>968</v>
      </c>
      <c r="C22" s="777">
        <f>'[1]20_TERRELOGICHE'!B26</f>
        <v>0</v>
      </c>
      <c r="D22" s="777">
        <f>'[1]20_TERRELOGICHE'!B22+'[1]20_TERRELOGICHE'!B23</f>
        <v>0</v>
      </c>
      <c r="E22" s="777">
        <f>'[1]20_TERRELOGICHE'!B25</f>
        <v>0</v>
      </c>
      <c r="F22" s="777">
        <f>'[1]20_TERRELOGICHE'!B24</f>
        <v>650</v>
      </c>
      <c r="G22" s="777">
        <f>'[1]20_TERRELOGICHE'!B27+'[1]20_TERRELOGICHE'!B28</f>
        <v>47.49</v>
      </c>
      <c r="H22" s="777">
        <v>0</v>
      </c>
      <c r="I22" s="778">
        <f t="shared" si="0"/>
        <v>697.49</v>
      </c>
      <c r="J22" s="778">
        <f t="shared" si="4"/>
        <v>0</v>
      </c>
      <c r="K22" s="778">
        <f>'[1]20_TERRELOGICHE'!B21</f>
        <v>700</v>
      </c>
      <c r="L22" s="778">
        <f t="shared" si="5"/>
        <v>700</v>
      </c>
      <c r="M22" s="777">
        <f t="shared" si="2"/>
        <v>2.5099999999999909</v>
      </c>
    </row>
    <row r="23" spans="1:13" x14ac:dyDescent="0.15">
      <c r="A23" s="773">
        <f t="shared" si="3"/>
        <v>21</v>
      </c>
      <c r="B23" s="776" t="s">
        <v>1067</v>
      </c>
      <c r="C23" s="777">
        <f>'[1]21_AMBIENTEspa'!B26</f>
        <v>0</v>
      </c>
      <c r="D23" s="777">
        <f>'[1]21_AMBIENTEspa'!B22+'[1]21_AMBIENTEspa'!B23</f>
        <v>0</v>
      </c>
      <c r="E23" s="777">
        <f>'[1]21_AMBIENTEspa'!B25</f>
        <v>0</v>
      </c>
      <c r="F23" s="777">
        <f>'[1]21_AMBIENTEspa'!B24</f>
        <v>320</v>
      </c>
      <c r="G23" s="777">
        <f>'[1]21_AMBIENTEspa'!B27+'[1]21_AMBIENTEspa'!B28</f>
        <v>25.12</v>
      </c>
      <c r="H23" s="777">
        <v>0</v>
      </c>
      <c r="I23" s="778">
        <f t="shared" ref="I23:I29" si="6">SUM(C23:H23)</f>
        <v>345.12</v>
      </c>
      <c r="J23" s="778">
        <f t="shared" si="4"/>
        <v>0</v>
      </c>
      <c r="K23" s="778">
        <f>'[1]21_AMBIENTEspa'!B21</f>
        <v>350</v>
      </c>
      <c r="L23" s="778">
        <f t="shared" si="5"/>
        <v>350</v>
      </c>
      <c r="M23" s="777">
        <f t="shared" si="2"/>
        <v>4.8799999999999955</v>
      </c>
    </row>
    <row r="24" spans="1:13" x14ac:dyDescent="0.15">
      <c r="A24" s="773">
        <f t="shared" si="3"/>
        <v>22</v>
      </c>
      <c r="B24" s="776" t="s">
        <v>1068</v>
      </c>
      <c r="C24" s="777"/>
      <c r="D24" s="777"/>
      <c r="E24" s="777"/>
      <c r="F24" s="777">
        <f>'[1]22_TAUW-srl'!B24</f>
        <v>1950</v>
      </c>
      <c r="G24" s="777">
        <f>'[1]22_TAUW-srl'!B27+'[1]22_TAUW-srl'!B28</f>
        <v>142.47</v>
      </c>
      <c r="H24" s="777"/>
      <c r="I24" s="778">
        <f t="shared" si="6"/>
        <v>2092.4699999999998</v>
      </c>
      <c r="J24" s="778">
        <f t="shared" si="4"/>
        <v>0</v>
      </c>
      <c r="K24" s="778">
        <f>'[1]22_TAUW-srl'!B21</f>
        <v>2100</v>
      </c>
      <c r="L24" s="778">
        <f t="shared" si="5"/>
        <v>2100</v>
      </c>
      <c r="M24" s="777">
        <f t="shared" si="2"/>
        <v>7.5300000000002001</v>
      </c>
    </row>
    <row r="25" spans="1:13" x14ac:dyDescent="0.15">
      <c r="A25" s="773">
        <f t="shared" si="3"/>
        <v>23</v>
      </c>
      <c r="B25" s="776" t="s">
        <v>1069</v>
      </c>
      <c r="C25" s="777"/>
      <c r="D25" s="777"/>
      <c r="E25" s="777"/>
      <c r="F25" s="777">
        <f>'[1]23_ARPES-srl'!B24</f>
        <v>5850</v>
      </c>
      <c r="G25" s="777">
        <f>'[1]23_ARPES-srl'!B27+'[1]23_ARPES-srl'!B28</f>
        <v>427.41</v>
      </c>
      <c r="H25" s="777"/>
      <c r="I25" s="778">
        <f t="shared" si="6"/>
        <v>6277.41</v>
      </c>
      <c r="J25" s="778">
        <f t="shared" si="4"/>
        <v>0</v>
      </c>
      <c r="K25" s="778">
        <f>'[1]23_ARPES-srl'!B21</f>
        <v>6300</v>
      </c>
      <c r="L25" s="778">
        <f t="shared" si="5"/>
        <v>6300</v>
      </c>
      <c r="M25" s="777">
        <f t="shared" si="2"/>
        <v>22.590000000000146</v>
      </c>
    </row>
    <row r="26" spans="1:13" x14ac:dyDescent="0.15">
      <c r="A26" s="773">
        <f t="shared" si="3"/>
        <v>24</v>
      </c>
      <c r="B26" s="776" t="s">
        <v>1070</v>
      </c>
      <c r="C26" s="777"/>
      <c r="D26" s="777"/>
      <c r="E26" s="777"/>
      <c r="F26" s="777">
        <f>'[1]24_GOLAR-ltd'!B24</f>
        <v>13440</v>
      </c>
      <c r="G26" s="777">
        <f>'[1]24_GOLAR-ltd'!B27+'[1]24_GOLAR-ltd'!B28</f>
        <v>958.08</v>
      </c>
      <c r="H26" s="777"/>
      <c r="I26" s="778">
        <f t="shared" si="6"/>
        <v>14398.08</v>
      </c>
      <c r="J26" s="778">
        <f t="shared" si="4"/>
        <v>0</v>
      </c>
      <c r="K26" s="778">
        <f>'[1]24_GOLAR-ltd'!B21</f>
        <v>14400</v>
      </c>
      <c r="L26" s="778">
        <f t="shared" si="5"/>
        <v>14400</v>
      </c>
      <c r="M26" s="777">
        <f t="shared" si="2"/>
        <v>1.9200000000000728</v>
      </c>
    </row>
    <row r="27" spans="1:13" x14ac:dyDescent="0.15">
      <c r="A27" s="773">
        <f t="shared" si="3"/>
        <v>25</v>
      </c>
      <c r="B27" s="776" t="s">
        <v>1071</v>
      </c>
      <c r="C27" s="777"/>
      <c r="D27" s="777"/>
      <c r="E27" s="777"/>
      <c r="F27" s="777">
        <f>'[1]25_EROSIONESUOLI-CB3'!B24</f>
        <v>3820</v>
      </c>
      <c r="G27" s="777">
        <f>'[1]25_EROSIONESUOLI-CB3'!B27+'[1]25_EROSIONESUOLI-CB3'!B28</f>
        <v>274.08995199999993</v>
      </c>
      <c r="H27" s="777"/>
      <c r="I27" s="778">
        <f t="shared" si="6"/>
        <v>4094.0899519999998</v>
      </c>
      <c r="J27" s="778">
        <f t="shared" si="4"/>
        <v>0</v>
      </c>
      <c r="K27" s="778">
        <f>'[1]25_EROSIONESUOLI-CB3'!B21</f>
        <v>4098.3599999999997</v>
      </c>
      <c r="L27" s="778">
        <f t="shared" si="5"/>
        <v>4098.3599999999997</v>
      </c>
      <c r="M27" s="777">
        <f t="shared" si="2"/>
        <v>4.2700479999998606</v>
      </c>
    </row>
    <row r="28" spans="1:13" x14ac:dyDescent="0.15">
      <c r="A28" s="773">
        <f t="shared" si="3"/>
        <v>26</v>
      </c>
      <c r="B28" s="776" t="s">
        <v>1072</v>
      </c>
      <c r="C28" s="777"/>
      <c r="D28" s="777"/>
      <c r="E28" s="777"/>
      <c r="F28" s="777">
        <f>'[1]26_PER-GENOVA'!B24</f>
        <v>4200</v>
      </c>
      <c r="G28" s="777">
        <f>'[1]26_PER-GENOVA'!B27+'[1]26_PER-GENOVA'!B28</f>
        <v>299.39999999999998</v>
      </c>
      <c r="H28" s="777"/>
      <c r="I28" s="778">
        <f t="shared" si="6"/>
        <v>4499.3999999999996</v>
      </c>
      <c r="J28" s="778">
        <f t="shared" si="4"/>
        <v>0</v>
      </c>
      <c r="K28" s="778">
        <f>'[1]26_PER-GENOVA'!B21</f>
        <v>4500</v>
      </c>
      <c r="L28" s="778">
        <f t="shared" si="5"/>
        <v>4500</v>
      </c>
      <c r="M28" s="777">
        <f t="shared" si="2"/>
        <v>0.6000000000003638</v>
      </c>
    </row>
    <row r="29" spans="1:13" x14ac:dyDescent="0.15">
      <c r="A29" s="773">
        <f t="shared" si="3"/>
        <v>27</v>
      </c>
      <c r="B29" s="776" t="s">
        <v>973</v>
      </c>
      <c r="C29" s="777"/>
      <c r="D29" s="777"/>
      <c r="E29" s="777"/>
      <c r="F29" s="777">
        <f>'[1]27_SNAM'!B24</f>
        <v>7280</v>
      </c>
      <c r="G29" s="777">
        <f>'[1]27_SNAM'!B27+'[1]27_SNAM'!B28</f>
        <v>518.96</v>
      </c>
      <c r="H29" s="777"/>
      <c r="I29" s="778">
        <f t="shared" si="6"/>
        <v>7798.96</v>
      </c>
      <c r="J29" s="778">
        <f t="shared" si="4"/>
        <v>0</v>
      </c>
      <c r="K29" s="778">
        <f>'[1]27_SNAM'!B21</f>
        <v>7800</v>
      </c>
      <c r="L29" s="778">
        <f t="shared" si="5"/>
        <v>7800</v>
      </c>
      <c r="M29" s="777">
        <f t="shared" si="2"/>
        <v>1.0399999999999636</v>
      </c>
    </row>
    <row r="30" spans="1:13" x14ac:dyDescent="0.15">
      <c r="A30" s="773">
        <f>+A29+1</f>
        <v>28</v>
      </c>
      <c r="B30" s="810" t="s">
        <v>1073</v>
      </c>
      <c r="C30" s="783"/>
      <c r="D30" s="783"/>
      <c r="E30" s="783">
        <v>549.20000000000005</v>
      </c>
      <c r="F30" s="783"/>
      <c r="G30" s="783"/>
      <c r="H30" s="783"/>
      <c r="I30" s="784">
        <f t="shared" si="0"/>
        <v>549.20000000000005</v>
      </c>
      <c r="J30" s="784"/>
      <c r="K30" s="784">
        <v>658</v>
      </c>
      <c r="L30" s="784">
        <f t="shared" si="5"/>
        <v>658</v>
      </c>
      <c r="M30" s="783">
        <f t="shared" si="2"/>
        <v>108.79999999999995</v>
      </c>
    </row>
    <row r="31" spans="1:13" x14ac:dyDescent="0.15">
      <c r="C31" s="793">
        <f t="shared" ref="C31:M31" si="7">SUM(C3:C30)</f>
        <v>11577.69</v>
      </c>
      <c r="D31" s="793">
        <f t="shared" si="7"/>
        <v>212997.84</v>
      </c>
      <c r="E31" s="793">
        <f t="shared" si="7"/>
        <v>20753.27</v>
      </c>
      <c r="F31" s="793">
        <f t="shared" si="7"/>
        <v>227431.27000000002</v>
      </c>
      <c r="G31" s="793">
        <f t="shared" si="7"/>
        <v>8487.8800080000001</v>
      </c>
      <c r="H31" s="793">
        <f t="shared" si="7"/>
        <v>26634.163499999999</v>
      </c>
      <c r="I31" s="793">
        <f t="shared" si="7"/>
        <v>507882.11350800004</v>
      </c>
      <c r="J31" s="793">
        <f t="shared" si="7"/>
        <v>26634.163499999999</v>
      </c>
      <c r="K31" s="793">
        <f t="shared" si="7"/>
        <v>481595.19300000009</v>
      </c>
      <c r="L31" s="793">
        <f t="shared" si="7"/>
        <v>508229.35650000011</v>
      </c>
      <c r="M31" s="793">
        <f t="shared" si="7"/>
        <v>347.2429920001058</v>
      </c>
    </row>
    <row r="32" spans="1:13" x14ac:dyDescent="0.15">
      <c r="B32" s="773" t="s">
        <v>1073</v>
      </c>
      <c r="C32" s="794"/>
      <c r="D32" s="794"/>
      <c r="E32" s="794"/>
      <c r="F32" s="794"/>
      <c r="G32" s="794"/>
      <c r="H32" s="794"/>
      <c r="I32" s="795"/>
      <c r="J32" s="795"/>
      <c r="K32" s="795"/>
      <c r="L32" s="795"/>
      <c r="M32" s="794">
        <f>+K32-I32</f>
        <v>0</v>
      </c>
    </row>
    <row r="33" spans="2:13" x14ac:dyDescent="0.15">
      <c r="C33" s="794"/>
      <c r="D33" s="794"/>
      <c r="E33" s="794"/>
      <c r="F33" s="794"/>
      <c r="G33" s="794"/>
      <c r="H33" s="794"/>
      <c r="I33" s="795"/>
      <c r="J33" s="795"/>
      <c r="K33" s="795"/>
      <c r="L33" s="795"/>
      <c r="M33" s="794"/>
    </row>
    <row r="34" spans="2:13" x14ac:dyDescent="0.15">
      <c r="C34" s="794"/>
      <c r="D34" s="794"/>
      <c r="E34" s="794"/>
      <c r="F34" s="794"/>
      <c r="G34" s="794"/>
      <c r="H34" s="794"/>
      <c r="I34" s="795"/>
      <c r="J34" s="795"/>
      <c r="K34" s="795"/>
      <c r="L34" s="795"/>
      <c r="M34" s="794"/>
    </row>
    <row r="36" spans="2:13" x14ac:dyDescent="0.15">
      <c r="L36" s="773" t="s">
        <v>1074</v>
      </c>
    </row>
    <row r="37" spans="2:13" x14ac:dyDescent="0.15">
      <c r="B37" s="1004" t="s">
        <v>45</v>
      </c>
      <c r="C37" s="774"/>
      <c r="D37" s="774"/>
      <c r="E37" s="774"/>
      <c r="F37" s="774"/>
      <c r="G37" s="774"/>
      <c r="H37" s="1005">
        <v>19036</v>
      </c>
      <c r="I37" s="796" t="s">
        <v>646</v>
      </c>
      <c r="J37" s="796"/>
      <c r="K37" s="796"/>
      <c r="L37" s="796"/>
      <c r="M37" s="796"/>
    </row>
    <row r="38" spans="2:13" x14ac:dyDescent="0.15">
      <c r="B38" s="1004" t="s">
        <v>47</v>
      </c>
      <c r="C38" s="774"/>
      <c r="D38" s="774"/>
      <c r="E38" s="774"/>
      <c r="F38" s="774"/>
      <c r="G38" s="774"/>
      <c r="H38" s="1005">
        <v>2904</v>
      </c>
      <c r="I38" s="796" t="s">
        <v>646</v>
      </c>
      <c r="J38" s="796"/>
      <c r="K38" s="796"/>
      <c r="L38" s="796"/>
      <c r="M38" s="796"/>
    </row>
    <row r="39" spans="2:13" x14ac:dyDescent="0.15">
      <c r="B39" s="779"/>
      <c r="C39" s="774"/>
      <c r="D39" s="774"/>
      <c r="E39" s="774"/>
      <c r="F39" s="774"/>
      <c r="G39" s="774"/>
      <c r="H39" s="1006"/>
      <c r="I39" s="796"/>
      <c r="J39" s="796"/>
      <c r="K39" s="796"/>
      <c r="L39" s="796"/>
      <c r="M39" s="796"/>
    </row>
    <row r="40" spans="2:13" x14ac:dyDescent="0.15">
      <c r="B40" s="779" t="s">
        <v>126</v>
      </c>
      <c r="C40" s="774"/>
      <c r="D40" s="774"/>
      <c r="E40" s="774"/>
      <c r="F40" s="774"/>
      <c r="G40" s="774"/>
      <c r="H40" s="1006">
        <v>0</v>
      </c>
      <c r="I40" s="796"/>
      <c r="J40" s="796"/>
      <c r="K40" s="796"/>
      <c r="L40" s="796"/>
      <c r="M40" s="796"/>
    </row>
    <row r="41" spans="2:13" x14ac:dyDescent="0.15">
      <c r="B41" s="779" t="s">
        <v>127</v>
      </c>
      <c r="C41" s="774"/>
      <c r="D41" s="774"/>
      <c r="E41" s="774"/>
      <c r="F41" s="774"/>
      <c r="G41" s="774"/>
      <c r="H41" s="1007">
        <v>2000</v>
      </c>
      <c r="I41" s="796" t="s">
        <v>646</v>
      </c>
      <c r="J41" s="796"/>
      <c r="K41" s="796"/>
      <c r="L41" s="796"/>
      <c r="M41" s="796"/>
    </row>
    <row r="42" spans="2:13" x14ac:dyDescent="0.15">
      <c r="B42" s="779" t="s">
        <v>131</v>
      </c>
      <c r="C42" s="774"/>
      <c r="D42" s="774"/>
      <c r="E42" s="774"/>
      <c r="F42" s="774"/>
      <c r="G42" s="774"/>
      <c r="H42" s="1007">
        <v>3857</v>
      </c>
      <c r="I42" s="796" t="s">
        <v>646</v>
      </c>
      <c r="J42" s="796"/>
      <c r="K42" s="796"/>
      <c r="L42" s="796"/>
      <c r="M42" s="796"/>
    </row>
    <row r="43" spans="2:13" x14ac:dyDescent="0.15">
      <c r="B43" s="779" t="s">
        <v>133</v>
      </c>
      <c r="C43" s="774"/>
      <c r="D43" s="774"/>
      <c r="E43" s="774"/>
      <c r="F43" s="774"/>
      <c r="G43" s="774"/>
      <c r="H43" s="1007">
        <v>3322</v>
      </c>
      <c r="I43" s="796" t="s">
        <v>1074</v>
      </c>
      <c r="J43" s="796"/>
      <c r="K43" s="796"/>
      <c r="L43" s="796"/>
      <c r="M43" s="796"/>
    </row>
    <row r="44" spans="2:13" x14ac:dyDescent="0.15">
      <c r="B44" s="779" t="s">
        <v>135</v>
      </c>
      <c r="C44" s="774"/>
      <c r="D44" s="774"/>
      <c r="E44" s="774"/>
      <c r="F44" s="774"/>
      <c r="G44" s="774"/>
      <c r="H44" s="1007">
        <v>6499</v>
      </c>
      <c r="I44" s="796" t="s">
        <v>646</v>
      </c>
      <c r="J44" s="796"/>
      <c r="K44" s="796"/>
      <c r="L44" s="796"/>
      <c r="M44" s="796"/>
    </row>
    <row r="45" spans="2:13" x14ac:dyDescent="0.15">
      <c r="B45" s="785" t="s">
        <v>136</v>
      </c>
      <c r="C45" s="774"/>
      <c r="D45" s="774"/>
      <c r="E45" s="774"/>
      <c r="F45" s="774"/>
      <c r="G45" s="774"/>
      <c r="H45" s="1008">
        <v>1577</v>
      </c>
      <c r="I45" s="796" t="s">
        <v>646</v>
      </c>
      <c r="J45" s="796"/>
      <c r="K45" s="796"/>
      <c r="L45" s="796"/>
      <c r="M45" s="796"/>
    </row>
    <row r="46" spans="2:13" x14ac:dyDescent="0.15">
      <c r="B46" s="779" t="s">
        <v>138</v>
      </c>
      <c r="C46" s="774"/>
      <c r="D46" s="774"/>
      <c r="E46" s="774"/>
      <c r="F46" s="774"/>
      <c r="G46" s="774"/>
      <c r="H46" s="1006">
        <v>0</v>
      </c>
      <c r="I46" s="796"/>
      <c r="J46" s="796"/>
      <c r="K46" s="796"/>
      <c r="L46" s="796"/>
      <c r="M46" s="796"/>
    </row>
    <row r="47" spans="2:13" x14ac:dyDescent="0.15">
      <c r="B47" s="782" t="s">
        <v>41</v>
      </c>
      <c r="C47" s="774"/>
      <c r="D47" s="774"/>
      <c r="E47" s="774"/>
      <c r="F47" s="774"/>
      <c r="G47" s="774"/>
      <c r="H47" s="1005">
        <v>100668</v>
      </c>
      <c r="I47" s="796" t="s">
        <v>646</v>
      </c>
      <c r="J47" s="796"/>
      <c r="K47" s="796"/>
      <c r="L47" s="796"/>
      <c r="M47" s="796"/>
    </row>
    <row r="48" spans="2:13" x14ac:dyDescent="0.15">
      <c r="B48" s="779" t="s">
        <v>615</v>
      </c>
      <c r="C48" s="774"/>
      <c r="D48" s="774"/>
      <c r="E48" s="774"/>
      <c r="F48" s="774"/>
      <c r="G48" s="774"/>
      <c r="H48" s="1007">
        <v>5562</v>
      </c>
      <c r="I48" s="796" t="s">
        <v>646</v>
      </c>
      <c r="J48" s="796"/>
      <c r="K48" s="796"/>
      <c r="L48" s="796"/>
      <c r="M48" s="796"/>
    </row>
    <row r="49" spans="2:16" x14ac:dyDescent="0.15">
      <c r="B49" s="779" t="s">
        <v>757</v>
      </c>
      <c r="C49" s="774"/>
      <c r="D49" s="774"/>
      <c r="E49" s="774"/>
      <c r="F49" s="774"/>
      <c r="G49" s="774"/>
      <c r="H49" s="1007">
        <v>5235</v>
      </c>
      <c r="I49" s="796" t="s">
        <v>646</v>
      </c>
      <c r="J49" s="796"/>
      <c r="K49" s="796"/>
      <c r="L49" s="796"/>
      <c r="M49" s="796"/>
    </row>
    <row r="50" spans="2:16" x14ac:dyDescent="0.15">
      <c r="B50" s="779" t="s">
        <v>758</v>
      </c>
      <c r="C50" s="774"/>
      <c r="D50" s="774"/>
      <c r="E50" s="774"/>
      <c r="F50" s="774"/>
      <c r="G50" s="774"/>
      <c r="H50" s="1009">
        <v>7655</v>
      </c>
      <c r="I50" s="796"/>
      <c r="J50" s="796"/>
      <c r="K50" s="796"/>
      <c r="L50" s="796"/>
      <c r="M50" s="796"/>
    </row>
    <row r="51" spans="2:16" x14ac:dyDescent="0.15">
      <c r="B51" s="779" t="s">
        <v>900</v>
      </c>
      <c r="C51" s="774"/>
      <c r="D51" s="774"/>
      <c r="E51" s="774"/>
      <c r="F51" s="774"/>
      <c r="G51" s="774"/>
      <c r="H51" s="1007">
        <v>2928</v>
      </c>
      <c r="I51" s="796" t="s">
        <v>646</v>
      </c>
      <c r="J51" s="796"/>
      <c r="K51" s="796"/>
      <c r="L51" s="796"/>
      <c r="M51" s="796"/>
    </row>
    <row r="52" spans="2:16" x14ac:dyDescent="0.15">
      <c r="B52" s="779" t="s">
        <v>616</v>
      </c>
      <c r="C52" s="774"/>
      <c r="D52" s="774"/>
      <c r="E52" s="774"/>
      <c r="F52" s="774"/>
      <c r="G52" s="774"/>
      <c r="H52" s="1007">
        <v>4263</v>
      </c>
      <c r="I52" s="796" t="s">
        <v>646</v>
      </c>
      <c r="J52" s="796"/>
      <c r="K52" s="796"/>
      <c r="L52" s="797" t="s">
        <v>617</v>
      </c>
      <c r="M52" s="797" t="s">
        <v>618</v>
      </c>
      <c r="N52" s="798" t="s">
        <v>1075</v>
      </c>
    </row>
    <row r="53" spans="2:16" x14ac:dyDescent="0.15">
      <c r="B53" s="785" t="s">
        <v>69</v>
      </c>
      <c r="C53" s="774"/>
      <c r="D53" s="774"/>
      <c r="E53" s="774"/>
      <c r="F53" s="774"/>
      <c r="G53" s="774"/>
      <c r="H53" s="1008">
        <v>3854</v>
      </c>
      <c r="I53" s="773" t="s">
        <v>646</v>
      </c>
      <c r="K53" s="799" t="s">
        <v>619</v>
      </c>
      <c r="L53" s="800">
        <f>K4+K5+K7+K9+K11+K14</f>
        <v>177522.45</v>
      </c>
      <c r="M53" s="800">
        <f>H41+H42+H43+H44+H48+H49+H50+H51+H52+H54+H55+H56+H57+H58+H59+H60+J9</f>
        <v>92045.728499999997</v>
      </c>
      <c r="N53" s="800">
        <f t="shared" ref="N53:N56" si="8">SUM(L53:M53)</f>
        <v>269568.17850000004</v>
      </c>
      <c r="P53" s="801"/>
    </row>
    <row r="54" spans="2:16" x14ac:dyDescent="0.15">
      <c r="B54" s="779" t="s">
        <v>759</v>
      </c>
      <c r="C54" s="774"/>
      <c r="D54" s="774"/>
      <c r="E54" s="774"/>
      <c r="F54" s="774"/>
      <c r="G54" s="1010"/>
      <c r="H54" s="1011">
        <v>7709</v>
      </c>
      <c r="I54" s="773" t="s">
        <v>646</v>
      </c>
      <c r="K54" s="802" t="s">
        <v>620</v>
      </c>
      <c r="L54" s="803">
        <f>K3+K6+K15+K16+K17+K21+K22+K23+K24+K25+K26+K27+K28+K29</f>
        <v>128904.44</v>
      </c>
      <c r="M54" s="804">
        <v>0</v>
      </c>
      <c r="N54" s="804">
        <f t="shared" si="8"/>
        <v>128904.44</v>
      </c>
    </row>
    <row r="55" spans="2:16" x14ac:dyDescent="0.15">
      <c r="B55" s="779" t="s">
        <v>760</v>
      </c>
      <c r="C55" s="774"/>
      <c r="D55" s="774"/>
      <c r="E55" s="774"/>
      <c r="F55" s="774"/>
      <c r="G55" s="774"/>
      <c r="H55" s="1007">
        <v>3208</v>
      </c>
      <c r="I55" s="773" t="s">
        <v>646</v>
      </c>
      <c r="K55" s="805" t="s">
        <v>468</v>
      </c>
      <c r="L55" s="806">
        <f>K8+K10+K18+K30</f>
        <v>126016.14300000011</v>
      </c>
      <c r="M55" s="806">
        <f>J8+J10+H37+H38+H47+H61+H62+H63+H64</f>
        <v>338592.435</v>
      </c>
      <c r="N55" s="806">
        <f t="shared" si="8"/>
        <v>464608.5780000001</v>
      </c>
    </row>
    <row r="56" spans="2:16" x14ac:dyDescent="0.15">
      <c r="B56" s="779" t="s">
        <v>762</v>
      </c>
      <c r="C56" s="774"/>
      <c r="D56" s="774"/>
      <c r="E56" s="774"/>
      <c r="F56" s="774"/>
      <c r="G56" s="774"/>
      <c r="H56" s="1011">
        <v>2317</v>
      </c>
      <c r="I56" s="773" t="s">
        <v>646</v>
      </c>
      <c r="K56" s="807" t="s">
        <v>621</v>
      </c>
      <c r="L56" s="808">
        <f>K12+K19</f>
        <v>49152.160000000003</v>
      </c>
      <c r="M56" s="808">
        <f>+H45+H53</f>
        <v>5431</v>
      </c>
      <c r="N56" s="808">
        <f t="shared" si="8"/>
        <v>54583.16</v>
      </c>
    </row>
    <row r="57" spans="2:16" x14ac:dyDescent="0.15">
      <c r="B57" s="779" t="s">
        <v>1076</v>
      </c>
      <c r="C57" s="774"/>
      <c r="D57" s="774"/>
      <c r="E57" s="774"/>
      <c r="F57" s="774"/>
      <c r="G57" s="774"/>
      <c r="H57" s="1011">
        <v>4912</v>
      </c>
      <c r="I57" s="773" t="s">
        <v>646</v>
      </c>
      <c r="K57" s="807"/>
      <c r="L57" s="808"/>
      <c r="M57" s="808"/>
      <c r="N57" s="808"/>
    </row>
    <row r="58" spans="2:16" x14ac:dyDescent="0.15">
      <c r="B58" s="779" t="s">
        <v>1077</v>
      </c>
      <c r="C58" s="774"/>
      <c r="D58" s="774"/>
      <c r="E58" s="774"/>
      <c r="F58" s="774"/>
      <c r="G58" s="774">
        <v>1</v>
      </c>
      <c r="H58" s="1011">
        <v>5276</v>
      </c>
      <c r="I58" s="773" t="s">
        <v>646</v>
      </c>
      <c r="K58" s="807"/>
      <c r="L58" s="808"/>
      <c r="M58" s="808"/>
      <c r="N58" s="808"/>
    </row>
    <row r="59" spans="2:16" x14ac:dyDescent="0.15">
      <c r="B59" s="779" t="s">
        <v>1078</v>
      </c>
      <c r="C59" s="774"/>
      <c r="D59" s="774"/>
      <c r="E59" s="774"/>
      <c r="F59" s="774"/>
      <c r="G59" s="774"/>
      <c r="H59" s="1011">
        <v>8730</v>
      </c>
      <c r="I59" s="773" t="s">
        <v>646</v>
      </c>
      <c r="K59" s="807"/>
      <c r="L59" s="808"/>
      <c r="M59" s="808"/>
      <c r="N59" s="808"/>
    </row>
    <row r="60" spans="2:16" x14ac:dyDescent="0.15">
      <c r="B60" s="779" t="s">
        <v>763</v>
      </c>
      <c r="C60" s="774"/>
      <c r="D60" s="774"/>
      <c r="E60" s="774"/>
      <c r="F60" s="774"/>
      <c r="G60" s="774"/>
      <c r="H60" s="1011">
        <v>16138</v>
      </c>
      <c r="I60" s="773" t="s">
        <v>646</v>
      </c>
      <c r="L60" s="1003">
        <f>+L55+L56</f>
        <v>175168.30300000013</v>
      </c>
      <c r="M60" s="793">
        <f>SUM(M53:M56)</f>
        <v>436069.16350000002</v>
      </c>
      <c r="N60" s="793">
        <f>SUM(N53:N59)</f>
        <v>917664.35650000011</v>
      </c>
      <c r="O60" s="773" t="s">
        <v>1079</v>
      </c>
    </row>
    <row r="61" spans="2:16" x14ac:dyDescent="0.15">
      <c r="B61" s="782" t="s">
        <v>294</v>
      </c>
      <c r="C61" s="774"/>
      <c r="D61" s="774"/>
      <c r="E61" s="774"/>
      <c r="F61" s="774"/>
      <c r="G61" s="774"/>
      <c r="H61" s="1005">
        <v>19619</v>
      </c>
      <c r="I61" s="773" t="s">
        <v>646</v>
      </c>
      <c r="N61" s="809">
        <v>3029908</v>
      </c>
      <c r="O61" s="773" t="s">
        <v>931</v>
      </c>
    </row>
    <row r="62" spans="2:16" x14ac:dyDescent="0.15">
      <c r="B62" s="782" t="s">
        <v>49</v>
      </c>
      <c r="C62" s="774"/>
      <c r="D62" s="774"/>
      <c r="E62" s="774"/>
      <c r="F62" s="774"/>
      <c r="G62" s="774"/>
      <c r="H62" s="1005">
        <v>12648</v>
      </c>
      <c r="I62" s="773" t="s">
        <v>646</v>
      </c>
      <c r="N62" s="801">
        <f>SUM(N60:N61)</f>
        <v>3947572.3565000002</v>
      </c>
    </row>
    <row r="63" spans="2:16" x14ac:dyDescent="0.15">
      <c r="B63" s="782" t="s">
        <v>43</v>
      </c>
      <c r="C63" s="774"/>
      <c r="D63" s="774"/>
      <c r="E63" s="774"/>
      <c r="F63" s="774"/>
      <c r="G63" s="774"/>
      <c r="H63" s="1005">
        <v>33005</v>
      </c>
      <c r="I63" s="773" t="s">
        <v>646</v>
      </c>
    </row>
    <row r="64" spans="2:16" x14ac:dyDescent="0.15">
      <c r="B64" s="1012" t="s">
        <v>1080</v>
      </c>
      <c r="C64" s="774"/>
      <c r="D64" s="774"/>
      <c r="E64" s="774"/>
      <c r="F64" s="774"/>
      <c r="G64" s="774"/>
      <c r="H64" s="1013">
        <v>126513</v>
      </c>
      <c r="I64" s="773" t="s">
        <v>646</v>
      </c>
    </row>
    <row r="65" spans="2:13" x14ac:dyDescent="0.15">
      <c r="B65" s="774"/>
      <c r="C65" s="774"/>
      <c r="D65" s="774"/>
      <c r="E65" s="774"/>
      <c r="F65" s="774"/>
      <c r="G65" s="774"/>
      <c r="H65" s="1014">
        <f>SUM(H31:H64)</f>
        <v>436069.16350000002</v>
      </c>
      <c r="M65" s="801">
        <f>+M60-H65</f>
        <v>0</v>
      </c>
    </row>
    <row r="67" spans="2:13" x14ac:dyDescent="0.15">
      <c r="H67" s="773">
        <v>436071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79"/>
  <sheetViews>
    <sheetView topLeftCell="B113" zoomScale="154" zoomScaleNormal="142" workbookViewId="0">
      <selection activeCell="J146" sqref="J146"/>
    </sheetView>
  </sheetViews>
  <sheetFormatPr baseColWidth="10" defaultColWidth="14.5" defaultRowHeight="15" customHeight="1" x14ac:dyDescent="0.15"/>
  <cols>
    <col min="1" max="1" width="11.5" hidden="1" customWidth="1"/>
    <col min="2" max="2" width="33.1640625" bestFit="1" customWidth="1"/>
    <col min="3" max="3" width="16.83203125" customWidth="1"/>
    <col min="4" max="4" width="2.33203125" customWidth="1"/>
    <col min="5" max="5" width="11.33203125" customWidth="1"/>
    <col min="6" max="6" width="23" customWidth="1"/>
    <col min="7" max="7" width="11.33203125" customWidth="1"/>
    <col min="8" max="8" width="12.5" bestFit="1" customWidth="1"/>
    <col min="9" max="9" width="11.33203125" bestFit="1" customWidth="1"/>
    <col min="10" max="10" width="10.83203125" bestFit="1" customWidth="1"/>
    <col min="11" max="11" width="11.5" customWidth="1"/>
    <col min="12" max="12" width="11.33203125" bestFit="1" customWidth="1"/>
    <col min="13" max="13" width="11.33203125" customWidth="1"/>
    <col min="14" max="14" width="31.6640625" customWidth="1"/>
    <col min="15" max="15" width="9.5" customWidth="1"/>
    <col min="16" max="16" width="12.33203125" customWidth="1"/>
    <col min="17" max="17" width="11.83203125" customWidth="1"/>
    <col min="18" max="18" width="11.5" customWidth="1"/>
    <col min="19" max="19" width="11.83203125" customWidth="1"/>
    <col min="20" max="20" width="25.5" customWidth="1"/>
    <col min="21" max="25" width="11.5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thickBot="1" x14ac:dyDescent="0.25">
      <c r="A5" s="1"/>
      <c r="B5" s="1048" t="s">
        <v>140</v>
      </c>
      <c r="C5" s="1041"/>
      <c r="D5" s="99"/>
      <c r="E5" s="1042" t="s">
        <v>442</v>
      </c>
      <c r="F5" s="1043"/>
      <c r="G5" s="1043"/>
      <c r="H5" s="1043"/>
      <c r="I5" s="1043"/>
      <c r="J5" s="1043"/>
      <c r="K5" s="1043"/>
      <c r="L5" s="1043"/>
      <c r="M5" s="104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01" t="s">
        <v>444</v>
      </c>
      <c r="C6" s="102">
        <v>260594</v>
      </c>
      <c r="D6" s="49"/>
      <c r="E6" s="103">
        <v>2014</v>
      </c>
      <c r="F6" s="103">
        <v>2015</v>
      </c>
      <c r="G6" s="103">
        <v>2016</v>
      </c>
      <c r="H6" s="103">
        <v>2017</v>
      </c>
      <c r="I6" s="103">
        <v>2018</v>
      </c>
      <c r="J6" s="159">
        <v>2019</v>
      </c>
      <c r="K6" s="289">
        <v>2020</v>
      </c>
      <c r="L6" s="289">
        <v>2021</v>
      </c>
      <c r="M6" s="289">
        <v>2022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1"/>
      <c r="B7" s="8"/>
      <c r="C7" s="49"/>
      <c r="D7" s="49"/>
      <c r="E7" s="104"/>
      <c r="F7" s="104"/>
      <c r="G7" s="104"/>
      <c r="H7" s="104"/>
      <c r="I7" s="104"/>
      <c r="J7" s="160"/>
      <c r="K7" s="164"/>
      <c r="L7" s="164"/>
      <c r="M7" s="65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">
      <c r="A8" s="1"/>
      <c r="B8" s="44" t="s">
        <v>447</v>
      </c>
      <c r="C8" s="107">
        <v>27851.26</v>
      </c>
      <c r="D8" s="49"/>
      <c r="E8" s="104">
        <v>2426.6799999999998</v>
      </c>
      <c r="F8" s="104"/>
      <c r="G8" s="104"/>
      <c r="H8" s="104"/>
      <c r="I8" s="104"/>
      <c r="J8" s="160"/>
      <c r="K8" s="164"/>
      <c r="L8" s="164"/>
      <c r="M8" s="65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"/>
      <c r="B9" s="8"/>
      <c r="C9" s="49"/>
      <c r="D9" s="49"/>
      <c r="E9" s="104"/>
      <c r="F9" s="104"/>
      <c r="G9" s="104"/>
      <c r="H9" s="104"/>
      <c r="I9" s="104"/>
      <c r="J9" s="160"/>
      <c r="K9" s="164"/>
      <c r="L9" s="164"/>
      <c r="M9" s="65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"/>
      <c r="B10" s="44" t="s">
        <v>448</v>
      </c>
      <c r="C10" s="107">
        <v>230987.48</v>
      </c>
      <c r="D10" s="49"/>
      <c r="E10" s="104">
        <v>0</v>
      </c>
      <c r="F10" s="104">
        <v>49328.800000000003</v>
      </c>
      <c r="G10" s="104">
        <v>49328.800000000003</v>
      </c>
      <c r="H10" s="104">
        <v>49328.800000000003</v>
      </c>
      <c r="I10" s="104">
        <v>49328.800000000003</v>
      </c>
      <c r="J10" s="161">
        <v>47499.53</v>
      </c>
      <c r="K10" s="164">
        <v>4064.92</v>
      </c>
      <c r="L10" s="164">
        <v>4064.92</v>
      </c>
      <c r="M10" s="659">
        <v>528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"/>
      <c r="B11" s="113" t="s">
        <v>449</v>
      </c>
      <c r="C11" s="116">
        <v>123830</v>
      </c>
      <c r="D11" s="49"/>
      <c r="E11" s="104"/>
      <c r="F11" s="104"/>
      <c r="G11" s="104"/>
      <c r="H11" s="104"/>
      <c r="I11" s="104"/>
      <c r="J11" s="162">
        <v>2352.7600000000002</v>
      </c>
      <c r="K11" s="290" t="s">
        <v>450</v>
      </c>
      <c r="L11" s="164"/>
      <c r="M11" s="659">
        <v>2939</v>
      </c>
      <c r="N11" s="5" t="s">
        <v>892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">
      <c r="A12" s="1"/>
      <c r="B12" s="113" t="s">
        <v>451</v>
      </c>
      <c r="C12" s="116">
        <v>70397</v>
      </c>
      <c r="D12" s="49"/>
      <c r="E12" s="104"/>
      <c r="F12" s="104"/>
      <c r="G12" s="104"/>
      <c r="H12" s="104"/>
      <c r="I12" s="104"/>
      <c r="J12" s="160"/>
      <c r="K12" s="164"/>
      <c r="L12" s="164"/>
      <c r="M12" s="65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1"/>
      <c r="B13" s="113" t="s">
        <v>454</v>
      </c>
      <c r="C13" s="116">
        <v>22961</v>
      </c>
      <c r="D13" s="49"/>
      <c r="E13" s="104"/>
      <c r="F13" s="104"/>
      <c r="G13" s="104"/>
      <c r="H13" s="104"/>
      <c r="I13" s="104"/>
      <c r="J13" s="160"/>
      <c r="K13" s="164"/>
      <c r="L13" s="164"/>
      <c r="M13" s="65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">
      <c r="A14" s="1"/>
      <c r="B14" s="113" t="s">
        <v>455</v>
      </c>
      <c r="C14" s="116">
        <v>13800.27</v>
      </c>
      <c r="D14" s="49"/>
      <c r="E14" s="104"/>
      <c r="F14" s="104"/>
      <c r="G14" s="104"/>
      <c r="H14" s="104"/>
      <c r="I14" s="104"/>
      <c r="J14" s="160"/>
      <c r="K14" s="164"/>
      <c r="L14" s="164"/>
      <c r="M14" s="65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">
      <c r="A15" s="1"/>
      <c r="B15" s="44" t="s">
        <v>29</v>
      </c>
      <c r="C15" s="107">
        <f>C8+C10</f>
        <v>258838.74000000002</v>
      </c>
      <c r="D15" s="49"/>
      <c r="E15" s="120">
        <f t="shared" ref="E15:M15" si="0">SUM(E8:E14)</f>
        <v>2426.6799999999998</v>
      </c>
      <c r="F15" s="120">
        <f t="shared" si="0"/>
        <v>49328.800000000003</v>
      </c>
      <c r="G15" s="120">
        <f t="shared" si="0"/>
        <v>49328.800000000003</v>
      </c>
      <c r="H15" s="120">
        <f t="shared" si="0"/>
        <v>49328.800000000003</v>
      </c>
      <c r="I15" s="120">
        <f t="shared" si="0"/>
        <v>49328.800000000003</v>
      </c>
      <c r="J15" s="163">
        <f>SUM(J8:J14)</f>
        <v>49852.29</v>
      </c>
      <c r="K15" s="163">
        <f>SUM(K8:K14)+1</f>
        <v>4065.92</v>
      </c>
      <c r="L15" s="163">
        <f t="shared" si="0"/>
        <v>4064.92</v>
      </c>
      <c r="M15" s="165">
        <f t="shared" si="0"/>
        <v>3467</v>
      </c>
      <c r="N15" s="88">
        <f>+M15-528.07</f>
        <v>2938.93</v>
      </c>
      <c r="O15" s="1"/>
      <c r="P15" s="5" t="s">
        <v>883</v>
      </c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"/>
      <c r="B16" s="1"/>
      <c r="C16" s="88"/>
      <c r="D16" s="88"/>
      <c r="E16" s="88"/>
      <c r="F16" s="88"/>
      <c r="G16" s="88"/>
      <c r="H16" s="88"/>
      <c r="I16" s="88"/>
      <c r="J16" s="122"/>
      <c r="L16" s="88"/>
      <c r="M16" s="96">
        <f>SUM(E15:M15)</f>
        <v>261192.01000000004</v>
      </c>
      <c r="N16" s="88">
        <f>+M16-2342</f>
        <v>258850.01000000004</v>
      </c>
      <c r="O16" s="1">
        <v>251306</v>
      </c>
      <c r="P16" s="1">
        <v>4065</v>
      </c>
      <c r="Q16" s="88">
        <f>+N16-O16-P16</f>
        <v>3479.0100000000384</v>
      </c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"/>
      <c r="B17" s="1"/>
      <c r="C17" s="88"/>
      <c r="D17" s="88"/>
      <c r="E17" s="88"/>
      <c r="F17" s="88"/>
      <c r="G17" s="88"/>
      <c r="H17" s="88"/>
      <c r="I17" s="88"/>
      <c r="J17" s="88"/>
      <c r="K17" s="88"/>
      <c r="L17" s="8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thickBot="1" x14ac:dyDescent="0.25">
      <c r="A18" s="1"/>
      <c r="B18" s="1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thickBot="1" x14ac:dyDescent="0.25">
      <c r="A19" s="1"/>
      <c r="B19" s="1057" t="s">
        <v>50</v>
      </c>
      <c r="C19" s="1058"/>
      <c r="D19" s="203"/>
      <c r="E19" s="1059" t="s">
        <v>442</v>
      </c>
      <c r="F19" s="1060"/>
      <c r="G19" s="1060"/>
      <c r="H19" s="1060"/>
      <c r="I19" s="1058"/>
      <c r="J19" s="204"/>
      <c r="K19" s="205"/>
      <c r="L19" s="205"/>
      <c r="M19" s="20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5">
      <c r="A20" s="1"/>
      <c r="B20" s="207" t="s">
        <v>444</v>
      </c>
      <c r="C20" s="208">
        <v>327093.62</v>
      </c>
      <c r="D20" s="171"/>
      <c r="E20" s="209">
        <v>2015</v>
      </c>
      <c r="F20" s="209">
        <v>2016</v>
      </c>
      <c r="G20" s="209">
        <v>2017</v>
      </c>
      <c r="H20" s="209">
        <v>2018</v>
      </c>
      <c r="I20" s="207">
        <v>2019</v>
      </c>
      <c r="J20" s="205"/>
      <c r="K20" s="205"/>
      <c r="L20" s="206"/>
      <c r="M20" s="210" t="s">
        <v>458</v>
      </c>
      <c r="N20" s="123"/>
      <c r="O20" s="12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70"/>
      <c r="C21" s="171"/>
      <c r="D21" s="171"/>
      <c r="E21" s="211"/>
      <c r="F21" s="211"/>
      <c r="G21" s="211"/>
      <c r="H21" s="211"/>
      <c r="I21" s="171"/>
      <c r="J21" s="205"/>
      <c r="K21" s="205"/>
      <c r="L21" s="205"/>
      <c r="M21" s="20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70"/>
      <c r="C22" s="171"/>
      <c r="D22" s="171"/>
      <c r="E22" s="211"/>
      <c r="F22" s="211"/>
      <c r="G22" s="211"/>
      <c r="H22" s="211"/>
      <c r="I22" s="171"/>
      <c r="J22" s="205"/>
      <c r="K22" s="205"/>
      <c r="L22" s="206"/>
      <c r="M22" s="20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69" t="s">
        <v>448</v>
      </c>
      <c r="C23" s="172">
        <v>329314.5</v>
      </c>
      <c r="D23" s="171"/>
      <c r="E23" s="211">
        <f>+C23/5</f>
        <v>65862.899999999994</v>
      </c>
      <c r="F23" s="211">
        <f>+C23/5</f>
        <v>65862.899999999994</v>
      </c>
      <c r="G23" s="211">
        <f>+C23/5</f>
        <v>65862.899999999994</v>
      </c>
      <c r="H23" s="211">
        <f>+C23/5</f>
        <v>65862.899999999994</v>
      </c>
      <c r="I23" s="212">
        <v>56349.59</v>
      </c>
      <c r="J23" s="212">
        <v>2352.7600000000002</v>
      </c>
      <c r="K23" s="213">
        <v>7160.51</v>
      </c>
      <c r="L23" s="205"/>
      <c r="M23" s="20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214"/>
      <c r="C24" s="215"/>
      <c r="D24" s="171"/>
      <c r="E24" s="211"/>
      <c r="F24" s="211"/>
      <c r="G24" s="211"/>
      <c r="H24" s="211"/>
      <c r="I24" s="216"/>
      <c r="J24" s="213" t="s">
        <v>460</v>
      </c>
      <c r="K24" s="213" t="s">
        <v>461</v>
      </c>
      <c r="L24" s="206"/>
      <c r="M24" s="20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70"/>
      <c r="C25" s="171"/>
      <c r="D25" s="171"/>
      <c r="E25" s="217">
        <f>SUM(E22:E24)</f>
        <v>65862.899999999994</v>
      </c>
      <c r="F25" s="217">
        <f>SUM(F22:F24)</f>
        <v>65862.899999999994</v>
      </c>
      <c r="G25" s="217">
        <f>SUM(G22:G24)</f>
        <v>65862.899999999994</v>
      </c>
      <c r="H25" s="217">
        <f>SUM(H22:H24)</f>
        <v>65862.899999999994</v>
      </c>
      <c r="I25" s="172">
        <f>SUM(I22:I24)</f>
        <v>56349.59</v>
      </c>
      <c r="J25" s="205"/>
      <c r="K25" s="205"/>
      <c r="L25" s="206"/>
      <c r="M25" s="20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88"/>
      <c r="D26" s="88"/>
      <c r="E26" s="89"/>
      <c r="F26" s="89"/>
      <c r="G26" s="89"/>
      <c r="H26" s="89"/>
      <c r="I26" s="89"/>
      <c r="J26" s="88"/>
      <c r="K26" s="8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thickBot="1" x14ac:dyDescent="0.25">
      <c r="A27" s="1"/>
      <c r="B27" s="1"/>
      <c r="C27" s="88"/>
      <c r="D27" s="88"/>
      <c r="E27" s="89"/>
      <c r="F27" s="89"/>
      <c r="G27" s="89"/>
      <c r="H27" s="89"/>
      <c r="I27" s="89"/>
      <c r="J27" s="88"/>
      <c r="K27" s="8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thickBot="1" x14ac:dyDescent="0.25">
      <c r="A28" s="1"/>
      <c r="B28" s="1048" t="s">
        <v>294</v>
      </c>
      <c r="C28" s="1041"/>
      <c r="D28" s="99"/>
      <c r="E28" s="1049" t="s">
        <v>442</v>
      </c>
      <c r="F28" s="1061"/>
      <c r="G28" s="1061"/>
      <c r="H28" s="1061"/>
      <c r="I28" s="1061"/>
      <c r="J28" s="1061"/>
      <c r="K28" s="1061"/>
      <c r="L28" s="106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01" t="s">
        <v>444</v>
      </c>
      <c r="C29" s="102">
        <f>+C34</f>
        <v>159897.16999999998</v>
      </c>
      <c r="D29" s="105"/>
      <c r="E29" s="103">
        <v>2017</v>
      </c>
      <c r="F29" s="103">
        <v>2018</v>
      </c>
      <c r="G29" s="159">
        <v>2019</v>
      </c>
      <c r="H29" s="159">
        <v>2020</v>
      </c>
      <c r="I29" s="159">
        <v>2021</v>
      </c>
      <c r="J29" s="159">
        <v>2022</v>
      </c>
      <c r="K29" s="101">
        <v>2023</v>
      </c>
      <c r="L29" s="101">
        <v>2024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8"/>
      <c r="C30" s="49"/>
      <c r="D30" s="105"/>
      <c r="E30" s="104"/>
      <c r="F30" s="104"/>
      <c r="G30" s="164"/>
      <c r="H30" s="164"/>
      <c r="I30" s="164"/>
      <c r="J30" s="164"/>
      <c r="K30" s="49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8"/>
      <c r="C31" s="49"/>
      <c r="D31" s="105"/>
      <c r="E31" s="104"/>
      <c r="F31" s="104"/>
      <c r="G31" s="164"/>
      <c r="H31" s="164"/>
      <c r="I31" s="164"/>
      <c r="J31" s="164"/>
      <c r="K31" s="49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44" t="s">
        <v>463</v>
      </c>
      <c r="C32" s="49">
        <v>123608</v>
      </c>
      <c r="D32" s="105"/>
      <c r="E32" s="104">
        <v>0</v>
      </c>
      <c r="F32" s="104">
        <f>C32/10</f>
        <v>12360.8</v>
      </c>
      <c r="G32" s="164">
        <f>+C32/5</f>
        <v>24721.599999999999</v>
      </c>
      <c r="H32" s="164">
        <f>+C32/5</f>
        <v>24721.599999999999</v>
      </c>
      <c r="I32" s="164">
        <f>+C32/5</f>
        <v>24721.599999999999</v>
      </c>
      <c r="J32" s="164">
        <f>C32/5</f>
        <v>24721.599999999999</v>
      </c>
      <c r="K32" s="49">
        <f>C32/10</f>
        <v>12360.8</v>
      </c>
      <c r="L32" s="1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" x14ac:dyDescent="0.2">
      <c r="A33" s="1"/>
      <c r="B33" s="44" t="s">
        <v>465</v>
      </c>
      <c r="C33" s="49">
        <v>36289.17</v>
      </c>
      <c r="D33" s="105"/>
      <c r="E33" s="104"/>
      <c r="F33" s="104"/>
      <c r="G33" s="164">
        <v>3628.92</v>
      </c>
      <c r="H33" s="164">
        <v>7257.83</v>
      </c>
      <c r="I33" s="164">
        <v>7257.83</v>
      </c>
      <c r="J33" s="164">
        <v>7257.83</v>
      </c>
      <c r="K33" s="49">
        <v>7257.83</v>
      </c>
      <c r="L33" s="49">
        <f>G33</f>
        <v>3628.92</v>
      </c>
      <c r="M33" s="1"/>
      <c r="N33" s="1"/>
      <c r="O33" s="1"/>
      <c r="W33" s="1"/>
      <c r="X33" s="1"/>
      <c r="Y33" s="1"/>
    </row>
    <row r="34" spans="1:25" ht="14" x14ac:dyDescent="0.2">
      <c r="A34" s="1"/>
      <c r="B34" s="8"/>
      <c r="C34" s="107">
        <f>C32+C33</f>
        <v>159897.16999999998</v>
      </c>
      <c r="D34" s="105"/>
      <c r="E34" s="120">
        <f t="shared" ref="E34:L34" si="1">SUM(E31:E33)</f>
        <v>0</v>
      </c>
      <c r="F34" s="120">
        <f t="shared" si="1"/>
        <v>12360.8</v>
      </c>
      <c r="G34" s="165">
        <f t="shared" si="1"/>
        <v>28350.519999999997</v>
      </c>
      <c r="H34" s="165">
        <f t="shared" si="1"/>
        <v>31979.43</v>
      </c>
      <c r="I34" s="165">
        <f t="shared" si="1"/>
        <v>31979.43</v>
      </c>
      <c r="J34" s="165">
        <f t="shared" si="1"/>
        <v>31979.43</v>
      </c>
      <c r="K34" s="674">
        <f t="shared" si="1"/>
        <v>19618.629999999997</v>
      </c>
      <c r="L34" s="107">
        <f t="shared" si="1"/>
        <v>3628.92</v>
      </c>
      <c r="M34" s="89">
        <f>SUM(F34:L34)</f>
        <v>159897.16</v>
      </c>
      <c r="W34" s="1"/>
      <c r="X34" s="1"/>
      <c r="Y34" s="1"/>
    </row>
    <row r="35" spans="1:25" ht="12.75" customHeight="1" x14ac:dyDescent="0.2">
      <c r="A35" s="1"/>
      <c r="B35" s="1"/>
      <c r="D35" s="88"/>
      <c r="E35" s="89"/>
      <c r="F35" s="89"/>
      <c r="G35" s="89"/>
      <c r="H35" s="89"/>
      <c r="I35" s="89"/>
      <c r="J35" s="88"/>
      <c r="K35" s="88"/>
      <c r="L35" s="1"/>
      <c r="M35" s="1"/>
      <c r="W35" s="1"/>
      <c r="X35" s="1"/>
      <c r="Y35" s="1"/>
    </row>
    <row r="36" spans="1:25" ht="12.75" customHeight="1" thickBot="1" x14ac:dyDescent="0.25">
      <c r="A36" s="1"/>
      <c r="B36" s="1"/>
      <c r="C36" s="88"/>
      <c r="D36" s="88"/>
      <c r="E36" s="89"/>
      <c r="F36" s="89"/>
      <c r="G36" s="89"/>
      <c r="H36" s="89"/>
      <c r="I36" s="89"/>
      <c r="J36" s="88"/>
      <c r="K36" s="88"/>
      <c r="L36" s="1"/>
      <c r="M36" s="1"/>
      <c r="W36" s="1"/>
      <c r="X36" s="1"/>
      <c r="Y36" s="1"/>
    </row>
    <row r="37" spans="1:25" ht="12.75" customHeight="1" thickBot="1" x14ac:dyDescent="0.25">
      <c r="A37" s="1"/>
      <c r="B37" s="1048" t="s">
        <v>49</v>
      </c>
      <c r="C37" s="1041"/>
      <c r="D37" s="99"/>
      <c r="E37" s="1042" t="s">
        <v>442</v>
      </c>
      <c r="F37" s="1043"/>
      <c r="G37" s="1043"/>
      <c r="H37" s="1043"/>
      <c r="I37" s="1041"/>
      <c r="J37" s="88"/>
      <c r="K37" s="88"/>
      <c r="L37" s="1"/>
      <c r="M37" s="1"/>
      <c r="W37" s="1"/>
      <c r="X37" s="1"/>
      <c r="Y37" s="1"/>
    </row>
    <row r="38" spans="1:25" ht="12.75" customHeight="1" x14ac:dyDescent="0.2">
      <c r="A38" s="1"/>
      <c r="B38" s="101" t="s">
        <v>444</v>
      </c>
      <c r="C38" s="102">
        <f>+C44</f>
        <v>78567.39</v>
      </c>
      <c r="D38" s="49"/>
      <c r="E38" s="126">
        <v>2018</v>
      </c>
      <c r="F38" s="166">
        <v>2019</v>
      </c>
      <c r="G38" s="166">
        <v>2020</v>
      </c>
      <c r="H38" s="166">
        <v>2021</v>
      </c>
      <c r="I38" s="166">
        <v>2022</v>
      </c>
      <c r="J38" s="44">
        <v>2023</v>
      </c>
      <c r="K38" s="44">
        <v>2024</v>
      </c>
      <c r="L38" s="1"/>
      <c r="M38" s="1"/>
      <c r="W38" s="1"/>
      <c r="X38" s="1"/>
      <c r="Y38" s="1"/>
    </row>
    <row r="39" spans="1:25" ht="12.75" customHeight="1" x14ac:dyDescent="0.2">
      <c r="A39" s="1"/>
      <c r="B39" s="8"/>
      <c r="C39" s="49"/>
      <c r="D39" s="49"/>
      <c r="E39" s="104"/>
      <c r="F39" s="164"/>
      <c r="G39" s="164"/>
      <c r="H39" s="164"/>
      <c r="I39" s="164"/>
      <c r="J39" s="49"/>
      <c r="K39" s="49"/>
      <c r="L39" s="1"/>
      <c r="M39" s="1"/>
      <c r="W39" s="1"/>
      <c r="X39" s="1"/>
      <c r="Y39" s="1"/>
    </row>
    <row r="40" spans="1:25" ht="14" x14ac:dyDescent="0.2">
      <c r="A40" s="1"/>
      <c r="B40" s="8"/>
      <c r="C40" s="49"/>
      <c r="D40" s="49"/>
      <c r="E40" s="104"/>
      <c r="F40" s="164"/>
      <c r="G40" s="164"/>
      <c r="H40" s="164"/>
      <c r="I40" s="164"/>
      <c r="J40" s="49"/>
      <c r="K40" s="49"/>
      <c r="L40" s="1"/>
      <c r="M40" s="1"/>
      <c r="W40" s="1"/>
      <c r="X40" s="1"/>
      <c r="Y40" s="1"/>
    </row>
    <row r="41" spans="1:25" ht="12.75" customHeight="1" x14ac:dyDescent="0.2">
      <c r="A41" s="1"/>
      <c r="B41" s="58" t="s">
        <v>542</v>
      </c>
      <c r="C41" s="49">
        <v>15329.3</v>
      </c>
      <c r="D41" s="49"/>
      <c r="E41" s="104">
        <f>+C41/5</f>
        <v>3065.8599999999997</v>
      </c>
      <c r="F41" s="164">
        <f>+C41/5</f>
        <v>3065.8599999999997</v>
      </c>
      <c r="G41" s="164">
        <f>+C41/5</f>
        <v>3065.8599999999997</v>
      </c>
      <c r="H41" s="164">
        <f>+C41/5</f>
        <v>3065.8599999999997</v>
      </c>
      <c r="I41" s="164">
        <f>+C41/5</f>
        <v>3065.8599999999997</v>
      </c>
      <c r="J41" s="131"/>
      <c r="K41" s="131"/>
      <c r="L41" s="1"/>
      <c r="M41" s="1"/>
      <c r="W41" s="1"/>
      <c r="X41" s="1"/>
      <c r="Y41" s="1"/>
    </row>
    <row r="42" spans="1:25" ht="12.75" customHeight="1" x14ac:dyDescent="0.2">
      <c r="A42" s="1"/>
      <c r="B42" s="58" t="s">
        <v>540</v>
      </c>
      <c r="C42" s="49">
        <f>8193.52+12417.77</f>
        <v>20611.29</v>
      </c>
      <c r="D42" s="49"/>
      <c r="E42" s="104"/>
      <c r="F42" s="164">
        <f>+C42*0.1</f>
        <v>2061.1290000000004</v>
      </c>
      <c r="G42" s="164">
        <f>+C42*0.2</f>
        <v>4122.2580000000007</v>
      </c>
      <c r="H42" s="164">
        <f>+C42*0.2</f>
        <v>4122.2580000000007</v>
      </c>
      <c r="I42" s="164">
        <f>+C42*0.2</f>
        <v>4122.2580000000007</v>
      </c>
      <c r="J42" s="49">
        <f>+C42*0.2</f>
        <v>4122.2580000000007</v>
      </c>
      <c r="K42" s="49">
        <f>+C42*0.1</f>
        <v>2061.1290000000004</v>
      </c>
      <c r="L42" s="1"/>
      <c r="M42" s="1"/>
      <c r="W42" s="1"/>
      <c r="X42" s="1"/>
      <c r="Y42" s="1"/>
    </row>
    <row r="43" spans="1:25" ht="12.75" customHeight="1" x14ac:dyDescent="0.2">
      <c r="A43" s="1"/>
      <c r="B43" s="58" t="s">
        <v>541</v>
      </c>
      <c r="C43" s="49">
        <v>42626.8</v>
      </c>
      <c r="D43" s="49"/>
      <c r="E43" s="104"/>
      <c r="F43" s="164">
        <f>+C43*0.2</f>
        <v>8525.36</v>
      </c>
      <c r="G43" s="164">
        <f>+C43*0.2</f>
        <v>8525.36</v>
      </c>
      <c r="H43" s="164">
        <f>+C43*0.2</f>
        <v>8525.36</v>
      </c>
      <c r="I43" s="164">
        <f>+C43*0.2</f>
        <v>8525.36</v>
      </c>
      <c r="J43" s="49">
        <f>+C43*0.2</f>
        <v>8525.36</v>
      </c>
      <c r="K43" s="49"/>
      <c r="L43" s="1"/>
      <c r="M43" s="1"/>
      <c r="W43" s="1"/>
      <c r="X43" s="1"/>
      <c r="Y43" s="1"/>
    </row>
    <row r="44" spans="1:25" ht="12.75" customHeight="1" x14ac:dyDescent="0.2">
      <c r="A44" s="1"/>
      <c r="B44" s="8"/>
      <c r="C44" s="107">
        <f>C41+C42+C43</f>
        <v>78567.39</v>
      </c>
      <c r="D44" s="49"/>
      <c r="E44" s="165">
        <f t="shared" ref="E44:K44" si="2">SUM(E40:E43)</f>
        <v>3065.8599999999997</v>
      </c>
      <c r="F44" s="165">
        <f t="shared" si="2"/>
        <v>13652.349</v>
      </c>
      <c r="G44" s="165">
        <f t="shared" si="2"/>
        <v>15713.478000000001</v>
      </c>
      <c r="H44" s="165">
        <f t="shared" si="2"/>
        <v>15713.478000000001</v>
      </c>
      <c r="I44" s="165">
        <f t="shared" si="2"/>
        <v>15713.478000000001</v>
      </c>
      <c r="J44" s="674">
        <f t="shared" si="2"/>
        <v>12647.618000000002</v>
      </c>
      <c r="K44" s="107">
        <f t="shared" si="2"/>
        <v>2061.1290000000004</v>
      </c>
      <c r="L44" s="89">
        <f>SUM(E44:K44)</f>
        <v>78567.39</v>
      </c>
      <c r="M44" s="1"/>
      <c r="W44" s="1"/>
      <c r="X44" s="1"/>
      <c r="Y44" s="1"/>
    </row>
    <row r="45" spans="1:25" ht="12.75" customHeight="1" thickBot="1" x14ac:dyDescent="0.25">
      <c r="A45" s="1"/>
      <c r="B45" s="1"/>
      <c r="C45" s="88"/>
      <c r="D45" s="88"/>
      <c r="E45" s="89"/>
      <c r="F45" s="89"/>
      <c r="G45" s="89"/>
      <c r="H45" s="89"/>
      <c r="I45" s="89"/>
      <c r="J45" s="88"/>
      <c r="K45" s="88"/>
      <c r="L45" s="1"/>
      <c r="M45" s="1"/>
      <c r="W45" s="1"/>
      <c r="X45" s="1"/>
      <c r="Y45" s="1"/>
    </row>
    <row r="46" spans="1:25" ht="12.75" customHeight="1" thickBot="1" x14ac:dyDescent="0.25">
      <c r="A46" s="1"/>
      <c r="B46" s="1048" t="s">
        <v>43</v>
      </c>
      <c r="C46" s="1041"/>
      <c r="D46" s="99"/>
      <c r="E46" s="1049" t="s">
        <v>442</v>
      </c>
      <c r="F46" s="1050"/>
      <c r="G46" s="1050"/>
      <c r="H46" s="1050"/>
      <c r="I46" s="1050"/>
      <c r="J46" s="1050"/>
      <c r="K46" s="1051"/>
      <c r="L46" s="1"/>
      <c r="M46" s="1"/>
      <c r="W46" s="1"/>
      <c r="X46" s="1"/>
      <c r="Y46" s="1"/>
    </row>
    <row r="47" spans="1:25" ht="12.75" customHeight="1" x14ac:dyDescent="0.2">
      <c r="A47" s="1"/>
      <c r="B47" s="101" t="s">
        <v>444</v>
      </c>
      <c r="C47" s="102">
        <f>+C54</f>
        <v>257744.96</v>
      </c>
      <c r="D47" s="105"/>
      <c r="E47" s="103">
        <v>2018</v>
      </c>
      <c r="F47" s="159">
        <v>2019</v>
      </c>
      <c r="G47" s="159">
        <v>2020</v>
      </c>
      <c r="H47" s="159">
        <v>2021</v>
      </c>
      <c r="I47" s="159">
        <v>2022</v>
      </c>
      <c r="J47" s="101">
        <v>2023</v>
      </c>
      <c r="K47" s="101">
        <v>2024</v>
      </c>
      <c r="L47" s="1"/>
      <c r="M47" s="1"/>
      <c r="W47" s="1"/>
      <c r="X47" s="1"/>
      <c r="Y47" s="1"/>
    </row>
    <row r="48" spans="1:25" ht="12.75" customHeight="1" x14ac:dyDescent="0.2">
      <c r="A48" s="1"/>
      <c r="B48" s="8"/>
      <c r="C48" s="49"/>
      <c r="D48" s="105"/>
      <c r="E48" s="104"/>
      <c r="F48" s="164"/>
      <c r="G48" s="164"/>
      <c r="H48" s="164"/>
      <c r="I48" s="164"/>
      <c r="J48" s="49"/>
      <c r="K48" s="49"/>
      <c r="L48" s="1"/>
      <c r="M48" s="1"/>
      <c r="W48" s="1"/>
      <c r="X48" s="1"/>
      <c r="Y48" s="1"/>
    </row>
    <row r="49" spans="1:25" ht="12.75" customHeight="1" x14ac:dyDescent="0.2">
      <c r="A49" s="1"/>
      <c r="B49" s="8"/>
      <c r="C49" s="49"/>
      <c r="D49" s="105"/>
      <c r="E49" s="104"/>
      <c r="F49" s="164"/>
      <c r="G49" s="164"/>
      <c r="H49" s="164"/>
      <c r="I49" s="164"/>
      <c r="J49" s="49"/>
      <c r="K49" s="49"/>
      <c r="L49" s="1"/>
      <c r="M49" s="1"/>
      <c r="W49" s="1"/>
      <c r="X49" s="1"/>
      <c r="Y49" s="1"/>
    </row>
    <row r="50" spans="1:25" ht="12.75" customHeight="1" x14ac:dyDescent="0.2">
      <c r="A50" s="1"/>
      <c r="B50" s="44" t="s">
        <v>463</v>
      </c>
      <c r="C50" s="49">
        <v>188488</v>
      </c>
      <c r="D50" s="105"/>
      <c r="E50" s="104">
        <f>+C50/10</f>
        <v>18848.8</v>
      </c>
      <c r="F50" s="164">
        <f>+C50/5</f>
        <v>37697.599999999999</v>
      </c>
      <c r="G50" s="164">
        <f>+C50/5</f>
        <v>37697.599999999999</v>
      </c>
      <c r="H50" s="164">
        <f>+C50/5</f>
        <v>37697.599999999999</v>
      </c>
      <c r="I50" s="660">
        <f>+C50/5</f>
        <v>37697.599999999999</v>
      </c>
      <c r="J50" s="49">
        <f>C50/10</f>
        <v>18848.8</v>
      </c>
      <c r="K50" s="49"/>
      <c r="L50" s="1"/>
      <c r="M50" s="1"/>
      <c r="W50" s="1"/>
      <c r="X50" s="1"/>
      <c r="Y50" s="1"/>
    </row>
    <row r="51" spans="1:25" ht="12.75" customHeight="1" x14ac:dyDescent="0.2">
      <c r="A51" s="1"/>
      <c r="B51" s="44" t="s">
        <v>465</v>
      </c>
      <c r="C51" s="49"/>
      <c r="D51" s="105"/>
      <c r="E51" s="104">
        <v>0</v>
      </c>
      <c r="F51" s="164">
        <f>+C51/4</f>
        <v>0</v>
      </c>
      <c r="G51" s="164">
        <f>+C51/4</f>
        <v>0</v>
      </c>
      <c r="H51" s="164">
        <f>+C51/4</f>
        <v>0</v>
      </c>
      <c r="I51" s="164">
        <f>+C51/4</f>
        <v>0</v>
      </c>
      <c r="J51" s="8"/>
      <c r="K51" s="8"/>
      <c r="L51" s="1"/>
      <c r="M51" s="1"/>
      <c r="W51" s="1"/>
      <c r="X51" s="1"/>
      <c r="Y51" s="1"/>
    </row>
    <row r="52" spans="1:25" ht="12.75" customHeight="1" x14ac:dyDescent="0.2">
      <c r="A52" s="1"/>
      <c r="B52" s="58" t="s">
        <v>538</v>
      </c>
      <c r="C52" s="49">
        <v>6100</v>
      </c>
      <c r="D52" s="105"/>
      <c r="E52" s="104"/>
      <c r="F52" s="164"/>
      <c r="G52" s="164">
        <f>+C52*0.125</f>
        <v>762.5</v>
      </c>
      <c r="H52" s="164">
        <f>+C52*0.25</f>
        <v>1525</v>
      </c>
      <c r="I52" s="164">
        <f>+C52*0.25</f>
        <v>1525</v>
      </c>
      <c r="J52" s="49">
        <f>+C52*0.25</f>
        <v>1525</v>
      </c>
      <c r="K52" s="49">
        <f>+C52*0.125</f>
        <v>762.5</v>
      </c>
      <c r="L52" s="1"/>
      <c r="M52" s="1"/>
      <c r="W52" s="1"/>
      <c r="X52" s="1"/>
      <c r="Y52" s="1"/>
    </row>
    <row r="53" spans="1:25" ht="12.75" customHeight="1" x14ac:dyDescent="0.2">
      <c r="A53" s="1"/>
      <c r="B53" s="58" t="s">
        <v>539</v>
      </c>
      <c r="C53" s="49">
        <v>63156.959999999999</v>
      </c>
      <c r="D53" s="105"/>
      <c r="E53" s="104"/>
      <c r="F53" s="164"/>
      <c r="G53" s="164">
        <f>+C53*0.2</f>
        <v>12631.392</v>
      </c>
      <c r="H53" s="164">
        <f>+C53*0.2</f>
        <v>12631.392</v>
      </c>
      <c r="I53" s="164">
        <f>+C53*0.2</f>
        <v>12631.392</v>
      </c>
      <c r="J53" s="49">
        <f>+C53*0.2</f>
        <v>12631.392</v>
      </c>
      <c r="K53" s="49">
        <f>+C53*0.2</f>
        <v>12631.392</v>
      </c>
      <c r="L53" s="1"/>
      <c r="M53" s="1"/>
      <c r="W53" s="1"/>
      <c r="X53" s="1"/>
      <c r="Y53" s="1"/>
    </row>
    <row r="54" spans="1:25" ht="12.75" customHeight="1" x14ac:dyDescent="0.2">
      <c r="A54" s="1"/>
      <c r="B54" s="8"/>
      <c r="C54" s="107">
        <f>C50+C51+C52+C53</f>
        <v>257744.96</v>
      </c>
      <c r="D54" s="105"/>
      <c r="E54" s="120">
        <f t="shared" ref="E54:K54" si="3">SUM(E49:E53)</f>
        <v>18848.8</v>
      </c>
      <c r="F54" s="120">
        <f t="shared" si="3"/>
        <v>37697.599999999999</v>
      </c>
      <c r="G54" s="165">
        <f t="shared" si="3"/>
        <v>51091.491999999998</v>
      </c>
      <c r="H54" s="165">
        <f t="shared" si="3"/>
        <v>51853.991999999998</v>
      </c>
      <c r="I54" s="165">
        <f t="shared" si="3"/>
        <v>51853.991999999998</v>
      </c>
      <c r="J54" s="674">
        <f t="shared" si="3"/>
        <v>33005.191999999995</v>
      </c>
      <c r="K54" s="107">
        <f t="shared" si="3"/>
        <v>13393.892</v>
      </c>
      <c r="L54" s="89">
        <f>SUM(E54:K54)</f>
        <v>257744.95999999996</v>
      </c>
      <c r="M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W55" s="1"/>
      <c r="X55" s="1"/>
      <c r="Y55" s="1"/>
    </row>
    <row r="56" spans="1:25" ht="12.75" customHeight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W56" s="1"/>
      <c r="X56" s="1"/>
      <c r="Y56" s="1"/>
    </row>
    <row r="57" spans="1:25" ht="12.75" customHeight="1" thickBot="1" x14ac:dyDescent="0.25">
      <c r="A57" s="1"/>
      <c r="B57" s="1044" t="s">
        <v>565</v>
      </c>
      <c r="C57" s="1045"/>
      <c r="D57" s="99"/>
      <c r="E57" s="1046" t="s">
        <v>442</v>
      </c>
      <c r="F57" s="1047"/>
      <c r="G57" s="1047"/>
      <c r="H57" s="1047"/>
      <c r="I57" s="1047"/>
      <c r="J57" s="1045"/>
      <c r="K57" s="1"/>
      <c r="L57" s="1"/>
      <c r="M57" s="1"/>
      <c r="W57" s="1"/>
      <c r="X57" s="1"/>
      <c r="Y57" s="1"/>
    </row>
    <row r="58" spans="1:25" ht="12.75" customHeight="1" x14ac:dyDescent="0.2">
      <c r="A58" s="1"/>
      <c r="B58" s="101" t="s">
        <v>444</v>
      </c>
      <c r="C58" s="102">
        <v>11699.8</v>
      </c>
      <c r="D58" s="49"/>
      <c r="E58" s="103">
        <v>2017</v>
      </c>
      <c r="F58" s="103">
        <v>2018</v>
      </c>
      <c r="G58" s="159">
        <v>2019</v>
      </c>
      <c r="H58" s="159">
        <v>2020</v>
      </c>
      <c r="I58" s="481">
        <v>2021</v>
      </c>
      <c r="J58" s="159">
        <v>2022</v>
      </c>
      <c r="K58" s="1"/>
      <c r="L58" s="1"/>
      <c r="M58" s="1"/>
      <c r="W58" s="1"/>
      <c r="X58" s="1"/>
      <c r="Y58" s="1"/>
    </row>
    <row r="59" spans="1:25" ht="12.75" customHeight="1" x14ac:dyDescent="0.2">
      <c r="A59" s="1"/>
      <c r="B59" s="8"/>
      <c r="C59" s="49"/>
      <c r="D59" s="49"/>
      <c r="E59" s="104"/>
      <c r="F59" s="104"/>
      <c r="G59" s="164"/>
      <c r="H59" s="164"/>
      <c r="I59" s="164"/>
      <c r="J59" s="661"/>
      <c r="K59" s="1"/>
      <c r="L59" s="1"/>
      <c r="M59" s="1"/>
      <c r="W59" s="1"/>
      <c r="X59" s="1"/>
      <c r="Y59" s="1"/>
    </row>
    <row r="60" spans="1:25" ht="12.75" customHeight="1" x14ac:dyDescent="0.2">
      <c r="A60" s="1"/>
      <c r="B60" s="8"/>
      <c r="C60" s="49"/>
      <c r="D60" s="49"/>
      <c r="E60" s="104"/>
      <c r="F60" s="104"/>
      <c r="G60" s="164"/>
      <c r="H60" s="164"/>
      <c r="I60" s="164"/>
      <c r="J60" s="164"/>
      <c r="K60" s="1"/>
      <c r="L60" s="1"/>
      <c r="M60" s="1"/>
      <c r="W60" s="1"/>
      <c r="X60" s="1"/>
      <c r="Y60" s="1"/>
    </row>
    <row r="61" spans="1:25" ht="12.75" customHeight="1" x14ac:dyDescent="0.2">
      <c r="A61" s="1"/>
      <c r="B61" s="44" t="s">
        <v>472</v>
      </c>
      <c r="C61" s="49">
        <v>11699.8</v>
      </c>
      <c r="D61" s="49"/>
      <c r="E61" s="104">
        <f>+C61*0.1</f>
        <v>1169.98</v>
      </c>
      <c r="F61" s="104">
        <f>+C61/5</f>
        <v>2339.96</v>
      </c>
      <c r="G61" s="164">
        <f>+C61/5</f>
        <v>2339.96</v>
      </c>
      <c r="H61" s="164">
        <f>+C61/5</f>
        <v>2339.96</v>
      </c>
      <c r="I61" s="164">
        <f>+C61/5</f>
        <v>2339.96</v>
      </c>
      <c r="J61" s="660">
        <f>+E61</f>
        <v>1169.98</v>
      </c>
      <c r="K61" s="1"/>
      <c r="L61" s="1"/>
      <c r="M61" s="1"/>
      <c r="W61" s="1"/>
      <c r="X61" s="1"/>
      <c r="Y61" s="1"/>
    </row>
    <row r="62" spans="1:25" ht="12.75" customHeight="1" x14ac:dyDescent="0.2">
      <c r="A62" s="1"/>
      <c r="B62" s="44" t="s">
        <v>463</v>
      </c>
      <c r="C62" s="49"/>
      <c r="D62" s="49"/>
      <c r="E62" s="104">
        <v>0</v>
      </c>
      <c r="F62" s="104">
        <f>+C62/4</f>
        <v>0</v>
      </c>
      <c r="G62" s="164">
        <f>+C62/4</f>
        <v>0</v>
      </c>
      <c r="H62" s="164">
        <f>+C62/4</f>
        <v>0</v>
      </c>
      <c r="I62" s="164">
        <f>+C62/4</f>
        <v>0</v>
      </c>
      <c r="J62" s="660"/>
      <c r="K62" s="1"/>
      <c r="L62" s="1"/>
      <c r="M62" s="1"/>
      <c r="W62" s="1"/>
      <c r="X62" s="1"/>
      <c r="Y62" s="1"/>
    </row>
    <row r="63" spans="1:25" ht="12.75" customHeight="1" x14ac:dyDescent="0.2">
      <c r="A63" s="1"/>
      <c r="B63" s="8"/>
      <c r="C63" s="107">
        <f>C61+C62</f>
        <v>11699.8</v>
      </c>
      <c r="D63" s="49"/>
      <c r="E63" s="120">
        <f t="shared" ref="E63:J63" si="4">SUM(E60:E62)</f>
        <v>1169.98</v>
      </c>
      <c r="F63" s="120">
        <f t="shared" si="4"/>
        <v>2339.96</v>
      </c>
      <c r="G63" s="165">
        <f t="shared" si="4"/>
        <v>2339.96</v>
      </c>
      <c r="H63" s="165">
        <f t="shared" si="4"/>
        <v>2339.96</v>
      </c>
      <c r="I63" s="165">
        <f t="shared" si="4"/>
        <v>2339.96</v>
      </c>
      <c r="J63" s="165">
        <f t="shared" si="4"/>
        <v>1169.98</v>
      </c>
      <c r="K63" s="89">
        <f>SUM(E63:J63)</f>
        <v>11699.8</v>
      </c>
      <c r="L63" s="5" t="s">
        <v>646</v>
      </c>
      <c r="M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W64" s="1"/>
      <c r="X64" s="1"/>
      <c r="Y64" s="1"/>
    </row>
    <row r="65" spans="1:25" ht="12.75" customHeight="1" thickBo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W65" s="1"/>
      <c r="X65" s="1"/>
      <c r="Y65" s="1"/>
    </row>
    <row r="66" spans="1:25" ht="12.75" customHeight="1" thickBot="1" x14ac:dyDescent="0.25">
      <c r="A66" s="1"/>
      <c r="B66" s="1044" t="s">
        <v>564</v>
      </c>
      <c r="C66" s="1045"/>
      <c r="D66" s="99"/>
      <c r="E66" s="1046" t="s">
        <v>442</v>
      </c>
      <c r="F66" s="1047"/>
      <c r="G66" s="1047"/>
      <c r="H66" s="1047"/>
      <c r="I66" s="1047"/>
      <c r="J66" s="1045"/>
      <c r="K66" s="1"/>
      <c r="L66" s="1"/>
      <c r="M66" s="1"/>
      <c r="W66" s="1"/>
      <c r="X66" s="1"/>
      <c r="Y66" s="1"/>
    </row>
    <row r="67" spans="1:25" ht="12.75" customHeight="1" x14ac:dyDescent="0.2">
      <c r="A67" s="1"/>
      <c r="B67" s="101" t="s">
        <v>444</v>
      </c>
      <c r="C67" s="102">
        <v>17494</v>
      </c>
      <c r="D67" s="49"/>
      <c r="E67" s="103">
        <v>2017</v>
      </c>
      <c r="F67" s="103">
        <v>2018</v>
      </c>
      <c r="G67" s="159">
        <v>2019</v>
      </c>
      <c r="H67" s="159">
        <v>2020</v>
      </c>
      <c r="I67" s="159">
        <v>2021</v>
      </c>
      <c r="J67" s="159">
        <v>2022</v>
      </c>
      <c r="K67" s="1"/>
      <c r="L67" s="1"/>
      <c r="M67" s="1"/>
      <c r="W67" s="1"/>
      <c r="X67" s="1"/>
      <c r="Y67" s="1"/>
    </row>
    <row r="68" spans="1:25" ht="12.75" customHeight="1" x14ac:dyDescent="0.2">
      <c r="A68" s="1"/>
      <c r="B68" s="8"/>
      <c r="C68" s="49"/>
      <c r="D68" s="49"/>
      <c r="E68" s="104"/>
      <c r="F68" s="104"/>
      <c r="G68" s="164"/>
      <c r="H68" s="164"/>
      <c r="I68" s="164"/>
      <c r="J68" s="661"/>
      <c r="K68" s="1"/>
      <c r="L68" s="1"/>
      <c r="M68" s="1"/>
      <c r="W68" s="1"/>
      <c r="X68" s="1"/>
      <c r="Y68" s="1"/>
    </row>
    <row r="69" spans="1:25" ht="12.75" customHeight="1" x14ac:dyDescent="0.2">
      <c r="A69" s="1"/>
      <c r="B69" s="8"/>
      <c r="C69" s="49"/>
      <c r="D69" s="49"/>
      <c r="E69" s="104"/>
      <c r="F69" s="104"/>
      <c r="G69" s="164"/>
      <c r="H69" s="164"/>
      <c r="I69" s="164"/>
      <c r="J69" s="164"/>
      <c r="K69" s="1"/>
      <c r="L69" s="1"/>
      <c r="M69" s="1"/>
      <c r="W69" s="1"/>
      <c r="X69" s="1"/>
      <c r="Y69" s="1"/>
    </row>
    <row r="70" spans="1:25" ht="12.75" customHeight="1" x14ac:dyDescent="0.2">
      <c r="A70" s="1"/>
      <c r="B70" s="44" t="s">
        <v>472</v>
      </c>
      <c r="C70" s="49">
        <v>17494</v>
      </c>
      <c r="D70" s="49"/>
      <c r="E70" s="104">
        <f>+C70*0.1</f>
        <v>1749.4</v>
      </c>
      <c r="F70" s="104">
        <f>+C70/5</f>
        <v>3498.8</v>
      </c>
      <c r="G70" s="164">
        <f>+C70/5</f>
        <v>3498.8</v>
      </c>
      <c r="H70" s="164">
        <f>+C70/5</f>
        <v>3498.8</v>
      </c>
      <c r="I70" s="164">
        <f>+C70/5</f>
        <v>3498.8</v>
      </c>
      <c r="J70" s="660">
        <f>+E70</f>
        <v>1749.4</v>
      </c>
      <c r="K70" s="1"/>
      <c r="L70" s="1"/>
      <c r="M70" s="1"/>
      <c r="W70" s="1"/>
      <c r="X70" s="1"/>
      <c r="Y70" s="1"/>
    </row>
    <row r="71" spans="1:25" ht="12.75" customHeight="1" x14ac:dyDescent="0.2">
      <c r="A71" s="1"/>
      <c r="B71" s="44" t="s">
        <v>463</v>
      </c>
      <c r="C71" s="49"/>
      <c r="D71" s="49"/>
      <c r="E71" s="104">
        <v>0</v>
      </c>
      <c r="F71" s="104">
        <f>+C71/4</f>
        <v>0</v>
      </c>
      <c r="G71" s="164">
        <f>+C71/4</f>
        <v>0</v>
      </c>
      <c r="H71" s="164">
        <f>+C71/4</f>
        <v>0</v>
      </c>
      <c r="I71" s="164">
        <f>+C71/4</f>
        <v>0</v>
      </c>
      <c r="J71" s="660">
        <v>0</v>
      </c>
      <c r="K71" s="1"/>
      <c r="L71" s="1"/>
      <c r="M71" s="1"/>
      <c r="W71" s="1"/>
      <c r="X71" s="1"/>
      <c r="Y71" s="1"/>
    </row>
    <row r="72" spans="1:25" ht="12.75" customHeight="1" x14ac:dyDescent="0.2">
      <c r="A72" s="1"/>
      <c r="B72" s="8"/>
      <c r="C72" s="107">
        <f>C70+C71</f>
        <v>17494</v>
      </c>
      <c r="D72" s="49"/>
      <c r="E72" s="120">
        <f t="shared" ref="E72:J72" si="5">SUM(E69:E71)</f>
        <v>1749.4</v>
      </c>
      <c r="F72" s="120">
        <f t="shared" si="5"/>
        <v>3498.8</v>
      </c>
      <c r="G72" s="165">
        <f t="shared" si="5"/>
        <v>3498.8</v>
      </c>
      <c r="H72" s="165">
        <f t="shared" si="5"/>
        <v>3498.8</v>
      </c>
      <c r="I72" s="165">
        <f t="shared" si="5"/>
        <v>3498.8</v>
      </c>
      <c r="J72" s="165">
        <f t="shared" si="5"/>
        <v>1749.4</v>
      </c>
      <c r="K72" s="89">
        <f>SUM(E72:J72)</f>
        <v>17494</v>
      </c>
      <c r="L72" s="5" t="s">
        <v>646</v>
      </c>
      <c r="M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W73" s="1"/>
      <c r="X73" s="1"/>
      <c r="Y73" s="1"/>
    </row>
    <row r="74" spans="1:25" ht="12.75" customHeight="1" thickBo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W74" s="1"/>
      <c r="X74" s="1"/>
      <c r="Y74" s="1"/>
    </row>
    <row r="75" spans="1:25" ht="12.75" customHeight="1" thickBot="1" x14ac:dyDescent="0.25">
      <c r="A75" s="1"/>
      <c r="B75" s="1044" t="s">
        <v>566</v>
      </c>
      <c r="C75" s="1045"/>
      <c r="D75" s="99"/>
      <c r="E75" s="1046" t="s">
        <v>442</v>
      </c>
      <c r="F75" s="1047"/>
      <c r="G75" s="1047"/>
      <c r="H75" s="1047"/>
      <c r="I75" s="1047"/>
      <c r="J75" s="1045"/>
      <c r="K75" s="1"/>
      <c r="L75" s="1"/>
      <c r="M75" s="1"/>
      <c r="U75" s="1"/>
      <c r="V75" s="1"/>
      <c r="W75" s="1"/>
      <c r="X75" s="1"/>
      <c r="Y75" s="1"/>
    </row>
    <row r="76" spans="1:25" ht="12.75" customHeight="1" x14ac:dyDescent="0.2">
      <c r="A76" s="1"/>
      <c r="B76" s="101" t="s">
        <v>444</v>
      </c>
      <c r="C76" s="102">
        <v>5265.52</v>
      </c>
      <c r="D76" s="49"/>
      <c r="E76" s="103">
        <v>2017</v>
      </c>
      <c r="F76" s="103">
        <v>2018</v>
      </c>
      <c r="G76" s="159">
        <v>2019</v>
      </c>
      <c r="H76" s="159">
        <v>2020</v>
      </c>
      <c r="I76" s="159">
        <v>2021</v>
      </c>
      <c r="J76" s="159">
        <v>2022</v>
      </c>
      <c r="K76" s="1"/>
      <c r="L76" s="1"/>
      <c r="M76" s="1"/>
      <c r="U76" s="1"/>
      <c r="V76" s="1"/>
      <c r="W76" s="1"/>
      <c r="X76" s="1"/>
      <c r="Y76" s="1"/>
    </row>
    <row r="77" spans="1:25" ht="12.75" customHeight="1" x14ac:dyDescent="0.2">
      <c r="A77" s="1"/>
      <c r="B77" s="8"/>
      <c r="C77" s="49"/>
      <c r="D77" s="49"/>
      <c r="E77" s="104"/>
      <c r="F77" s="104"/>
      <c r="G77" s="164"/>
      <c r="H77" s="164"/>
      <c r="I77" s="164"/>
      <c r="J77" s="661"/>
      <c r="K77" s="1"/>
      <c r="L77" s="1"/>
      <c r="M77" s="1"/>
      <c r="U77" s="1"/>
      <c r="V77" s="1"/>
      <c r="W77" s="1"/>
      <c r="X77" s="1"/>
      <c r="Y77" s="1"/>
    </row>
    <row r="78" spans="1:25" ht="12.75" customHeight="1" x14ac:dyDescent="0.2">
      <c r="A78" s="1"/>
      <c r="B78" s="8"/>
      <c r="C78" s="49"/>
      <c r="D78" s="49"/>
      <c r="E78" s="104"/>
      <c r="F78" s="104"/>
      <c r="G78" s="164"/>
      <c r="H78" s="164"/>
      <c r="I78" s="164"/>
      <c r="J78" s="164"/>
      <c r="K78" s="1"/>
      <c r="L78" s="1"/>
      <c r="M78" s="1"/>
      <c r="U78" s="1"/>
      <c r="V78" s="1"/>
      <c r="W78" s="1"/>
      <c r="X78" s="1"/>
      <c r="Y78" s="1"/>
    </row>
    <row r="79" spans="1:25" ht="12.75" customHeight="1" x14ac:dyDescent="0.2">
      <c r="A79" s="1"/>
      <c r="B79" s="44" t="s">
        <v>472</v>
      </c>
      <c r="C79" s="49">
        <v>5265.52</v>
      </c>
      <c r="D79" s="49"/>
      <c r="E79" s="104">
        <f>+C79*0.1</f>
        <v>526.55200000000002</v>
      </c>
      <c r="F79" s="104">
        <f>+C79/5</f>
        <v>1053.104</v>
      </c>
      <c r="G79" s="164">
        <f>+C79/5</f>
        <v>1053.104</v>
      </c>
      <c r="H79" s="164">
        <f>+C79/5</f>
        <v>1053.104</v>
      </c>
      <c r="I79" s="164">
        <f>+C79/5</f>
        <v>1053.104</v>
      </c>
      <c r="J79" s="660">
        <f>+E79</f>
        <v>526.55200000000002</v>
      </c>
      <c r="K79" s="1"/>
      <c r="L79" s="1"/>
      <c r="M79" s="1"/>
      <c r="U79" s="1"/>
      <c r="V79" s="1"/>
      <c r="W79" s="1"/>
      <c r="X79" s="1"/>
      <c r="Y79" s="1"/>
    </row>
    <row r="80" spans="1:25" ht="12.75" customHeight="1" x14ac:dyDescent="0.2">
      <c r="A80" s="1"/>
      <c r="B80" s="44" t="s">
        <v>463</v>
      </c>
      <c r="C80" s="49"/>
      <c r="D80" s="49"/>
      <c r="E80" s="104">
        <v>0</v>
      </c>
      <c r="F80" s="104">
        <f>+C80/4</f>
        <v>0</v>
      </c>
      <c r="G80" s="164">
        <f>+C80/4</f>
        <v>0</v>
      </c>
      <c r="H80" s="164">
        <f>+C80/4</f>
        <v>0</v>
      </c>
      <c r="I80" s="164">
        <f>+C80/4</f>
        <v>0</v>
      </c>
      <c r="J80" s="660">
        <v>0</v>
      </c>
      <c r="K80" s="1"/>
      <c r="L80" s="1"/>
      <c r="M80" s="1"/>
      <c r="U80" s="1"/>
      <c r="V80" s="1"/>
      <c r="W80" s="1"/>
      <c r="X80" s="1"/>
      <c r="Y80" s="1"/>
    </row>
    <row r="81" spans="1:25" ht="12.75" customHeight="1" x14ac:dyDescent="0.2">
      <c r="A81" s="1"/>
      <c r="B81" s="8"/>
      <c r="C81" s="107">
        <f>C79+C80</f>
        <v>5265.52</v>
      </c>
      <c r="D81" s="49"/>
      <c r="E81" s="120">
        <f t="shared" ref="E81:J81" si="6">SUM(E78:E80)</f>
        <v>526.55200000000002</v>
      </c>
      <c r="F81" s="120">
        <f t="shared" si="6"/>
        <v>1053.104</v>
      </c>
      <c r="G81" s="165">
        <f t="shared" si="6"/>
        <v>1053.104</v>
      </c>
      <c r="H81" s="165">
        <f t="shared" si="6"/>
        <v>1053.104</v>
      </c>
      <c r="I81" s="165">
        <f t="shared" si="6"/>
        <v>1053.104</v>
      </c>
      <c r="J81" s="165">
        <f t="shared" si="6"/>
        <v>526.55200000000002</v>
      </c>
      <c r="K81" s="89">
        <f>SUM(E81:J81)</f>
        <v>5265.52</v>
      </c>
      <c r="L81" s="5" t="s">
        <v>646</v>
      </c>
      <c r="M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U82" s="1"/>
      <c r="V82" s="1"/>
      <c r="W82" s="1"/>
      <c r="X82" s="1"/>
      <c r="Y82" s="1"/>
    </row>
    <row r="83" spans="1:25" ht="12.75" customHeight="1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U83" s="1"/>
      <c r="V83" s="1"/>
      <c r="W83" s="1"/>
      <c r="X83" s="1"/>
      <c r="Y83" s="1"/>
    </row>
    <row r="84" spans="1:25" ht="12.75" customHeight="1" thickBot="1" x14ac:dyDescent="0.25">
      <c r="A84" s="1"/>
      <c r="B84" s="1052" t="s">
        <v>567</v>
      </c>
      <c r="C84" s="1053"/>
      <c r="D84" s="99"/>
      <c r="E84" s="1054" t="s">
        <v>442</v>
      </c>
      <c r="F84" s="1055"/>
      <c r="G84" s="1055"/>
      <c r="H84" s="1055"/>
      <c r="I84" s="1055"/>
      <c r="J84" s="1055"/>
      <c r="K84" s="1056"/>
      <c r="L84" s="1"/>
      <c r="M84" s="1"/>
      <c r="U84" s="1"/>
      <c r="V84" s="1"/>
      <c r="W84" s="1"/>
      <c r="X84" s="1"/>
      <c r="Y84" s="1"/>
    </row>
    <row r="85" spans="1:25" ht="12.75" customHeight="1" x14ac:dyDescent="0.2">
      <c r="A85" s="1"/>
      <c r="B85" s="101" t="s">
        <v>444</v>
      </c>
      <c r="C85" s="102">
        <f>+C90</f>
        <v>20118</v>
      </c>
      <c r="D85" s="105"/>
      <c r="E85" s="103">
        <v>2017</v>
      </c>
      <c r="F85" s="103">
        <v>2018</v>
      </c>
      <c r="G85" s="159">
        <v>2019</v>
      </c>
      <c r="H85" s="159">
        <v>2020</v>
      </c>
      <c r="I85" s="159">
        <v>2021</v>
      </c>
      <c r="J85" s="159">
        <v>2022</v>
      </c>
      <c r="K85" s="101">
        <v>2023</v>
      </c>
      <c r="L85" s="1"/>
      <c r="M85" s="1"/>
      <c r="W85" s="1"/>
      <c r="X85" s="1"/>
      <c r="Y85" s="1"/>
    </row>
    <row r="86" spans="1:25" ht="12.75" customHeight="1" x14ac:dyDescent="0.2">
      <c r="A86" s="1"/>
      <c r="B86" s="8"/>
      <c r="C86" s="49"/>
      <c r="D86" s="105"/>
      <c r="E86" s="104"/>
      <c r="F86" s="104"/>
      <c r="G86" s="164"/>
      <c r="H86" s="164"/>
      <c r="I86" s="164"/>
      <c r="J86" s="164"/>
      <c r="K86" s="8"/>
      <c r="L86" s="1"/>
      <c r="M86" s="1"/>
      <c r="W86" s="1"/>
      <c r="X86" s="1"/>
      <c r="Y86" s="1"/>
    </row>
    <row r="87" spans="1:25" ht="12.75" customHeight="1" x14ac:dyDescent="0.2">
      <c r="A87" s="1"/>
      <c r="B87" s="8"/>
      <c r="C87" s="49"/>
      <c r="D87" s="105"/>
      <c r="E87" s="104"/>
      <c r="F87" s="104"/>
      <c r="G87" s="164"/>
      <c r="H87" s="164"/>
      <c r="I87" s="164"/>
      <c r="J87" s="164"/>
      <c r="K87" s="8"/>
      <c r="L87" s="1"/>
      <c r="M87" s="1"/>
      <c r="W87" s="1"/>
      <c r="X87" s="1"/>
      <c r="Y87" s="1"/>
    </row>
    <row r="88" spans="1:25" ht="12.75" customHeight="1" x14ac:dyDescent="0.2">
      <c r="A88" s="1"/>
      <c r="B88" s="44" t="s">
        <v>472</v>
      </c>
      <c r="C88" s="49">
        <v>4344</v>
      </c>
      <c r="D88" s="105"/>
      <c r="E88" s="104">
        <f>+C88*0.1</f>
        <v>434.40000000000003</v>
      </c>
      <c r="F88" s="104">
        <f>+C88/5</f>
        <v>868.8</v>
      </c>
      <c r="G88" s="164">
        <f>+C88/5</f>
        <v>868.8</v>
      </c>
      <c r="H88" s="164">
        <f>+C88/5</f>
        <v>868.8</v>
      </c>
      <c r="I88" s="164">
        <f>+C88/5</f>
        <v>868.8</v>
      </c>
      <c r="J88" s="660">
        <f>+E88</f>
        <v>434.40000000000003</v>
      </c>
      <c r="K88" s="8">
        <v>0</v>
      </c>
      <c r="L88" s="1"/>
      <c r="M88" s="1"/>
      <c r="W88" s="1"/>
      <c r="X88" s="1"/>
      <c r="Y88" s="1"/>
    </row>
    <row r="89" spans="1:25" ht="12.75" customHeight="1" x14ac:dyDescent="0.2">
      <c r="A89" s="1"/>
      <c r="B89" s="44" t="s">
        <v>463</v>
      </c>
      <c r="C89" s="49">
        <v>15774</v>
      </c>
      <c r="D89" s="105"/>
      <c r="E89" s="104">
        <v>0</v>
      </c>
      <c r="F89" s="104">
        <f>+C89/10</f>
        <v>1577.4</v>
      </c>
      <c r="G89" s="164">
        <f>+C89/5</f>
        <v>3154.8</v>
      </c>
      <c r="H89" s="164">
        <f>+C89/5</f>
        <v>3154.8</v>
      </c>
      <c r="I89" s="164">
        <f>+C89/5</f>
        <v>3154.8</v>
      </c>
      <c r="J89" s="660">
        <f>C89/5</f>
        <v>3154.8</v>
      </c>
      <c r="K89" s="49">
        <f>C89/10</f>
        <v>1577.4</v>
      </c>
      <c r="L89" s="1"/>
      <c r="M89" s="1"/>
      <c r="W89" s="1"/>
      <c r="X89" s="1"/>
      <c r="Y89" s="1"/>
    </row>
    <row r="90" spans="1:25" ht="12.75" customHeight="1" x14ac:dyDescent="0.2">
      <c r="A90" s="1"/>
      <c r="B90" s="8"/>
      <c r="C90" s="107">
        <f>C88+C89</f>
        <v>20118</v>
      </c>
      <c r="D90" s="105"/>
      <c r="E90" s="120">
        <f t="shared" ref="E90:K90" si="7">SUM(E87:E89)</f>
        <v>434.40000000000003</v>
      </c>
      <c r="F90" s="120">
        <f t="shared" si="7"/>
        <v>2446.1999999999998</v>
      </c>
      <c r="G90" s="165">
        <f t="shared" si="7"/>
        <v>4023.6000000000004</v>
      </c>
      <c r="H90" s="165">
        <f t="shared" si="7"/>
        <v>4023.6000000000004</v>
      </c>
      <c r="I90" s="165">
        <f t="shared" si="7"/>
        <v>4023.6000000000004</v>
      </c>
      <c r="J90" s="165">
        <f t="shared" si="7"/>
        <v>3589.2000000000003</v>
      </c>
      <c r="K90" s="674">
        <f t="shared" si="7"/>
        <v>1577.4</v>
      </c>
      <c r="L90" s="89">
        <f>SUM(E90:K90)</f>
        <v>20118.000000000004</v>
      </c>
      <c r="M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W91" s="1"/>
      <c r="X91" s="1"/>
      <c r="Y91" s="1"/>
    </row>
    <row r="92" spans="1:25" ht="12.75" customHeight="1" thickBo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W92" s="1"/>
      <c r="X92" s="1"/>
      <c r="Y92" s="1"/>
    </row>
    <row r="93" spans="1:25" ht="12.75" customHeight="1" thickBot="1" x14ac:dyDescent="0.25">
      <c r="A93" s="1"/>
      <c r="B93" s="1044" t="s">
        <v>568</v>
      </c>
      <c r="C93" s="1045"/>
      <c r="D93" s="99"/>
      <c r="E93" s="1046" t="s">
        <v>442</v>
      </c>
      <c r="F93" s="1047"/>
      <c r="G93" s="1047"/>
      <c r="H93" s="1047"/>
      <c r="I93" s="1047"/>
      <c r="J93" s="1045"/>
      <c r="K93" s="1"/>
      <c r="L93" s="1"/>
      <c r="M93" s="1"/>
      <c r="W93" s="1"/>
      <c r="X93" s="1"/>
      <c r="Y93" s="1"/>
    </row>
    <row r="94" spans="1:25" ht="12.75" customHeight="1" x14ac:dyDescent="0.2">
      <c r="A94" s="1"/>
      <c r="B94" s="101" t="s">
        <v>444</v>
      </c>
      <c r="C94" s="102">
        <v>10443.200000000001</v>
      </c>
      <c r="D94" s="49"/>
      <c r="E94" s="103">
        <v>2017</v>
      </c>
      <c r="F94" s="103">
        <v>2018</v>
      </c>
      <c r="G94" s="159">
        <v>2019</v>
      </c>
      <c r="H94" s="159">
        <v>2020</v>
      </c>
      <c r="I94" s="159">
        <v>2021</v>
      </c>
      <c r="J94" s="159">
        <v>2022</v>
      </c>
      <c r="K94" s="1"/>
      <c r="L94" s="1"/>
      <c r="M94" s="1"/>
      <c r="W94" s="1"/>
      <c r="X94" s="1"/>
      <c r="Y94" s="1"/>
    </row>
    <row r="95" spans="1:25" ht="12.75" customHeight="1" x14ac:dyDescent="0.2">
      <c r="A95" s="1"/>
      <c r="B95" s="8"/>
      <c r="C95" s="49"/>
      <c r="D95" s="49"/>
      <c r="E95" s="104"/>
      <c r="F95" s="104"/>
      <c r="G95" s="164"/>
      <c r="H95" s="164"/>
      <c r="I95" s="164"/>
      <c r="J95" s="661"/>
      <c r="K95" s="1"/>
      <c r="L95" s="1"/>
      <c r="M95" s="1"/>
      <c r="W95" s="1"/>
      <c r="X95" s="1"/>
      <c r="Y95" s="1"/>
    </row>
    <row r="96" spans="1:25" ht="12.75" customHeight="1" x14ac:dyDescent="0.2">
      <c r="A96" s="1"/>
      <c r="B96" s="8"/>
      <c r="C96" s="49"/>
      <c r="D96" s="49"/>
      <c r="E96" s="104"/>
      <c r="F96" s="104"/>
      <c r="G96" s="164"/>
      <c r="H96" s="164"/>
      <c r="I96" s="164"/>
      <c r="J96" s="164"/>
      <c r="K96" s="1"/>
      <c r="L96" s="1"/>
      <c r="M96" s="1"/>
      <c r="W96" s="1"/>
      <c r="X96" s="1"/>
      <c r="Y96" s="1"/>
    </row>
    <row r="97" spans="1:25" ht="12.75" customHeight="1" x14ac:dyDescent="0.2">
      <c r="A97" s="1"/>
      <c r="B97" s="44" t="s">
        <v>472</v>
      </c>
      <c r="C97" s="49">
        <v>10443.200000000001</v>
      </c>
      <c r="D97" s="49"/>
      <c r="E97" s="104">
        <f>+C97*0.1</f>
        <v>1044.3200000000002</v>
      </c>
      <c r="F97" s="104">
        <f>+C97/5</f>
        <v>2088.6400000000003</v>
      </c>
      <c r="G97" s="164">
        <f>+C97/5</f>
        <v>2088.6400000000003</v>
      </c>
      <c r="H97" s="164">
        <f>+C97/5</f>
        <v>2088.6400000000003</v>
      </c>
      <c r="I97" s="164">
        <f>+C97/5</f>
        <v>2088.6400000000003</v>
      </c>
      <c r="J97" s="660">
        <f>+E97</f>
        <v>1044.3200000000002</v>
      </c>
      <c r="K97" s="1"/>
      <c r="L97" s="1"/>
      <c r="M97" s="1"/>
      <c r="W97" s="1"/>
      <c r="X97" s="1"/>
      <c r="Y97" s="1"/>
    </row>
    <row r="98" spans="1:25" ht="12.75" customHeight="1" x14ac:dyDescent="0.2">
      <c r="A98" s="1"/>
      <c r="B98" s="44" t="s">
        <v>463</v>
      </c>
      <c r="C98" s="49"/>
      <c r="D98" s="49"/>
      <c r="E98" s="104">
        <v>0</v>
      </c>
      <c r="F98" s="104">
        <f>+C98/4</f>
        <v>0</v>
      </c>
      <c r="G98" s="164">
        <f>+C98/4</f>
        <v>0</v>
      </c>
      <c r="H98" s="164">
        <f>+C98/4</f>
        <v>0</v>
      </c>
      <c r="I98" s="164">
        <f>+C98/4</f>
        <v>0</v>
      </c>
      <c r="J98" s="660">
        <v>0</v>
      </c>
      <c r="K98" s="1"/>
      <c r="L98" s="1"/>
      <c r="M98" s="1"/>
      <c r="W98" s="1"/>
      <c r="X98" s="1"/>
      <c r="Y98" s="1"/>
    </row>
    <row r="99" spans="1:25" ht="12.75" customHeight="1" x14ac:dyDescent="0.2">
      <c r="A99" s="1"/>
      <c r="B99" s="8"/>
      <c r="C99" s="107">
        <f>C97+C98</f>
        <v>10443.200000000001</v>
      </c>
      <c r="D99" s="49"/>
      <c r="E99" s="120">
        <f t="shared" ref="E99:J99" si="8">SUM(E96:E98)</f>
        <v>1044.3200000000002</v>
      </c>
      <c r="F99" s="120">
        <f t="shared" si="8"/>
        <v>2088.6400000000003</v>
      </c>
      <c r="G99" s="165">
        <f t="shared" si="8"/>
        <v>2088.6400000000003</v>
      </c>
      <c r="H99" s="165">
        <f t="shared" si="8"/>
        <v>2088.6400000000003</v>
      </c>
      <c r="I99" s="165">
        <f t="shared" si="8"/>
        <v>2088.6400000000003</v>
      </c>
      <c r="J99" s="165">
        <f t="shared" si="8"/>
        <v>1044.3200000000002</v>
      </c>
      <c r="K99" s="89">
        <f>SUM(E99:J99)</f>
        <v>10443.200000000001</v>
      </c>
      <c r="L99" s="5" t="s">
        <v>646</v>
      </c>
      <c r="M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W100" s="1"/>
      <c r="X100" s="1"/>
      <c r="Y100" s="1"/>
    </row>
    <row r="101" spans="1:25" thickBo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W101" s="1"/>
      <c r="X101" s="1"/>
      <c r="Y101" s="1"/>
    </row>
    <row r="102" spans="1:25" ht="12.75" customHeight="1" thickBot="1" x14ac:dyDescent="0.25">
      <c r="A102" s="1"/>
      <c r="B102" s="1044" t="s">
        <v>569</v>
      </c>
      <c r="C102" s="1045"/>
      <c r="D102" s="99"/>
      <c r="E102" s="1046" t="s">
        <v>442</v>
      </c>
      <c r="F102" s="1047"/>
      <c r="G102" s="1047"/>
      <c r="H102" s="1047"/>
      <c r="I102" s="1047"/>
      <c r="J102" s="1045"/>
      <c r="K102" s="1"/>
      <c r="L102" s="1"/>
      <c r="M102" s="1"/>
      <c r="W102" s="1"/>
      <c r="X102" s="1"/>
      <c r="Y102" s="1"/>
    </row>
    <row r="103" spans="1:25" ht="12.75" customHeight="1" x14ac:dyDescent="0.2">
      <c r="A103" s="1"/>
      <c r="B103" s="101" t="s">
        <v>444</v>
      </c>
      <c r="C103" s="102">
        <v>36836.07</v>
      </c>
      <c r="D103" s="49"/>
      <c r="E103" s="103">
        <v>2017</v>
      </c>
      <c r="F103" s="103">
        <v>2018</v>
      </c>
      <c r="G103" s="159">
        <v>2019</v>
      </c>
      <c r="H103" s="159">
        <v>2020</v>
      </c>
      <c r="I103" s="159">
        <v>2021</v>
      </c>
      <c r="J103" s="159">
        <v>2022</v>
      </c>
      <c r="K103" s="1"/>
      <c r="L103" s="1"/>
      <c r="M103" s="1"/>
      <c r="W103" s="1"/>
      <c r="X103" s="1"/>
      <c r="Y103" s="1"/>
    </row>
    <row r="104" spans="1:25" ht="12.75" customHeight="1" x14ac:dyDescent="0.2">
      <c r="A104" s="1"/>
      <c r="B104" s="8"/>
      <c r="C104" s="49"/>
      <c r="D104" s="49"/>
      <c r="E104" s="104"/>
      <c r="F104" s="104"/>
      <c r="G104" s="164"/>
      <c r="H104" s="164"/>
      <c r="I104" s="164"/>
      <c r="J104" s="661"/>
      <c r="K104" s="1"/>
      <c r="L104" s="1"/>
      <c r="M104" s="1"/>
      <c r="W104" s="1"/>
      <c r="X104" s="1"/>
      <c r="Y104" s="1"/>
    </row>
    <row r="105" spans="1:25" ht="12.75" customHeight="1" x14ac:dyDescent="0.2">
      <c r="A105" s="1"/>
      <c r="B105" s="241" t="s">
        <v>472</v>
      </c>
      <c r="C105" s="49"/>
      <c r="D105" s="49"/>
      <c r="E105" s="104"/>
      <c r="F105" s="104"/>
      <c r="G105" s="164"/>
      <c r="H105" s="164"/>
      <c r="I105" s="164"/>
      <c r="J105" s="164"/>
      <c r="K105" s="1"/>
      <c r="L105" s="1"/>
      <c r="M105" s="1"/>
      <c r="W105" s="1"/>
      <c r="X105" s="1"/>
      <c r="Y105" s="1"/>
    </row>
    <row r="106" spans="1:25" ht="12.75" customHeight="1" x14ac:dyDescent="0.2">
      <c r="A106" s="1"/>
      <c r="B106" s="8" t="s">
        <v>474</v>
      </c>
      <c r="C106" s="242">
        <v>14871.8</v>
      </c>
      <c r="D106" s="49"/>
      <c r="E106" s="104">
        <f>+C106*0.1</f>
        <v>1487.18</v>
      </c>
      <c r="F106" s="104">
        <f>+C106/5</f>
        <v>2974.3599999999997</v>
      </c>
      <c r="G106" s="164">
        <f>+C106/5</f>
        <v>2974.3599999999997</v>
      </c>
      <c r="H106" s="164">
        <f>+C106/5</f>
        <v>2974.3599999999997</v>
      </c>
      <c r="I106" s="164">
        <f>+C106/5</f>
        <v>2974.3599999999997</v>
      </c>
      <c r="J106" s="164">
        <f>+E106</f>
        <v>1487.18</v>
      </c>
      <c r="K106" s="1"/>
      <c r="L106" s="1"/>
      <c r="M106" s="1"/>
      <c r="W106" s="1"/>
      <c r="X106" s="1"/>
      <c r="Y106" s="1"/>
    </row>
    <row r="107" spans="1:25" ht="12.75" customHeight="1" x14ac:dyDescent="0.2">
      <c r="A107" s="1"/>
      <c r="B107" s="243" t="s">
        <v>475</v>
      </c>
      <c r="C107" s="49">
        <v>14456.39</v>
      </c>
      <c r="D107" s="49"/>
      <c r="E107" s="104">
        <f>+C107/5</f>
        <v>2891.2779999999998</v>
      </c>
      <c r="F107" s="104">
        <f>+C107/5</f>
        <v>2891.2779999999998</v>
      </c>
      <c r="G107" s="164">
        <f>+C107/5</f>
        <v>2891.2779999999998</v>
      </c>
      <c r="H107" s="164">
        <f>+C107/5</f>
        <v>2891.2779999999998</v>
      </c>
      <c r="I107" s="164">
        <f>+C107/5</f>
        <v>2891.2779999999998</v>
      </c>
      <c r="J107" s="164">
        <v>0</v>
      </c>
      <c r="K107" s="1"/>
      <c r="L107" s="1"/>
      <c r="M107" s="1"/>
      <c r="W107" s="1"/>
      <c r="X107" s="1"/>
      <c r="Y107" s="1"/>
    </row>
    <row r="108" spans="1:25" ht="12.75" customHeight="1" x14ac:dyDescent="0.2">
      <c r="A108" s="1"/>
      <c r="B108" s="8" t="s">
        <v>476</v>
      </c>
      <c r="C108" s="49">
        <v>7507.88</v>
      </c>
      <c r="D108" s="49"/>
      <c r="E108" s="104">
        <f>+C108*0.1</f>
        <v>750.78800000000001</v>
      </c>
      <c r="F108" s="104">
        <f>+C108/5</f>
        <v>1501.576</v>
      </c>
      <c r="G108" s="164">
        <f>+C108/5</f>
        <v>1501.576</v>
      </c>
      <c r="H108" s="164">
        <f>+C108/5</f>
        <v>1501.576</v>
      </c>
      <c r="I108" s="164">
        <f>+C108/5</f>
        <v>1501.576</v>
      </c>
      <c r="J108" s="164">
        <f>+E108</f>
        <v>750.78800000000001</v>
      </c>
      <c r="K108" s="1"/>
      <c r="L108" s="1"/>
      <c r="M108" s="1"/>
      <c r="W108" s="1"/>
      <c r="X108" s="1"/>
      <c r="Y108" s="1"/>
    </row>
    <row r="109" spans="1:25" ht="12.75" customHeight="1" x14ac:dyDescent="0.2">
      <c r="A109" s="1"/>
      <c r="B109" s="8"/>
      <c r="C109" s="49"/>
      <c r="D109" s="49"/>
      <c r="E109" s="104">
        <v>0</v>
      </c>
      <c r="F109" s="104">
        <f>+C109/4</f>
        <v>0</v>
      </c>
      <c r="G109" s="164">
        <f>+C109/4</f>
        <v>0</v>
      </c>
      <c r="H109" s="164">
        <f>+C109/4</f>
        <v>0</v>
      </c>
      <c r="I109" s="164">
        <f>+C109/4</f>
        <v>0</v>
      </c>
      <c r="J109" s="164">
        <v>0</v>
      </c>
      <c r="K109" s="1"/>
      <c r="L109" s="1"/>
      <c r="M109" s="1"/>
      <c r="W109" s="1"/>
      <c r="X109" s="1"/>
      <c r="Y109" s="1"/>
    </row>
    <row r="110" spans="1:25" ht="12.75" customHeight="1" x14ac:dyDescent="0.2">
      <c r="A110" s="1"/>
      <c r="B110" s="8"/>
      <c r="C110" s="107">
        <f>C106+C107+C108</f>
        <v>36836.07</v>
      </c>
      <c r="D110" s="49"/>
      <c r="E110" s="120">
        <f t="shared" ref="E110:J110" si="9">SUM(E105:E109)</f>
        <v>5129.2459999999992</v>
      </c>
      <c r="F110" s="120">
        <f t="shared" si="9"/>
        <v>7367.213999999999</v>
      </c>
      <c r="G110" s="165">
        <f t="shared" si="9"/>
        <v>7367.213999999999</v>
      </c>
      <c r="H110" s="165">
        <f t="shared" si="9"/>
        <v>7367.213999999999</v>
      </c>
      <c r="I110" s="165">
        <f t="shared" si="9"/>
        <v>7367.213999999999</v>
      </c>
      <c r="J110" s="165">
        <f t="shared" si="9"/>
        <v>2237.9679999999998</v>
      </c>
      <c r="K110" s="89">
        <f>SUM(E110:J110)</f>
        <v>36836.07</v>
      </c>
      <c r="L110" s="5" t="s">
        <v>646</v>
      </c>
      <c r="M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W111" s="1"/>
      <c r="X111" s="1"/>
      <c r="Y111" s="1"/>
    </row>
    <row r="112" spans="1:25" ht="12.75" customHeight="1" thickBo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W112" s="1"/>
      <c r="X112" s="1"/>
      <c r="Y112" s="1"/>
    </row>
    <row r="113" spans="1:25" ht="12.75" customHeight="1" thickBot="1" x14ac:dyDescent="0.25">
      <c r="A113" s="1"/>
      <c r="B113" s="1044" t="s">
        <v>570</v>
      </c>
      <c r="C113" s="1045"/>
      <c r="D113" s="1"/>
      <c r="E113" s="1046" t="s">
        <v>442</v>
      </c>
      <c r="F113" s="1047"/>
      <c r="G113" s="1047"/>
      <c r="H113" s="1047"/>
      <c r="I113" s="1047"/>
      <c r="J113" s="1045"/>
      <c r="K113" s="1"/>
      <c r="L113" s="1"/>
      <c r="M113" s="1"/>
      <c r="W113" s="1"/>
      <c r="X113" s="1"/>
      <c r="Y113" s="1"/>
    </row>
    <row r="114" spans="1:25" ht="12.75" customHeight="1" x14ac:dyDescent="0.2">
      <c r="A114" s="1"/>
      <c r="B114" s="101" t="s">
        <v>444</v>
      </c>
      <c r="C114" s="102">
        <v>33218</v>
      </c>
      <c r="D114" s="1"/>
      <c r="E114" s="103">
        <v>2018</v>
      </c>
      <c r="F114" s="159">
        <v>2019</v>
      </c>
      <c r="G114" s="159">
        <v>2020</v>
      </c>
      <c r="H114" s="159">
        <v>2021</v>
      </c>
      <c r="I114" s="159">
        <v>2022</v>
      </c>
      <c r="J114" s="101">
        <v>2023</v>
      </c>
      <c r="K114" s="1"/>
      <c r="L114" s="1"/>
      <c r="M114" s="1"/>
      <c r="W114" s="1"/>
      <c r="X114" s="1"/>
      <c r="Y114" s="1"/>
    </row>
    <row r="115" spans="1:25" ht="12.75" customHeight="1" x14ac:dyDescent="0.2">
      <c r="A115" s="1"/>
      <c r="B115" s="8"/>
      <c r="C115" s="49"/>
      <c r="D115" s="1"/>
      <c r="E115" s="104"/>
      <c r="F115" s="164"/>
      <c r="G115" s="164"/>
      <c r="H115" s="164"/>
      <c r="I115" s="164"/>
      <c r="J115" s="134"/>
      <c r="K115" s="1"/>
      <c r="L115" s="1"/>
      <c r="M115" s="1"/>
      <c r="W115" s="1"/>
      <c r="X115" s="1"/>
      <c r="Y115" s="1"/>
    </row>
    <row r="116" spans="1:25" ht="12.75" customHeight="1" x14ac:dyDescent="0.2">
      <c r="A116" s="1"/>
      <c r="B116" s="8"/>
      <c r="C116" s="49"/>
      <c r="D116" s="1"/>
      <c r="E116" s="104"/>
      <c r="F116" s="164"/>
      <c r="G116" s="164"/>
      <c r="H116" s="164"/>
      <c r="I116" s="164"/>
      <c r="J116" s="49"/>
      <c r="K116" s="1"/>
      <c r="L116" s="1"/>
      <c r="M116" s="1"/>
      <c r="W116" s="1"/>
      <c r="X116" s="1"/>
      <c r="Y116" s="1"/>
    </row>
    <row r="117" spans="1:25" ht="12.75" customHeight="1" x14ac:dyDescent="0.2">
      <c r="A117" s="1"/>
      <c r="B117" s="44" t="s">
        <v>463</v>
      </c>
      <c r="C117" s="49">
        <v>33218</v>
      </c>
      <c r="D117" s="1"/>
      <c r="E117" s="104">
        <f>+C117*0.1</f>
        <v>3321.8</v>
      </c>
      <c r="F117" s="164">
        <f>+C117/5</f>
        <v>6643.6</v>
      </c>
      <c r="G117" s="164">
        <f>+C117/5</f>
        <v>6643.6</v>
      </c>
      <c r="H117" s="164">
        <f>+C117/5</f>
        <v>6643.6</v>
      </c>
      <c r="I117" s="660">
        <f>+C117/5</f>
        <v>6643.6</v>
      </c>
      <c r="J117" s="132">
        <f>+E117</f>
        <v>3321.8</v>
      </c>
      <c r="K117" s="1"/>
      <c r="L117" s="1"/>
      <c r="M117" s="1"/>
      <c r="W117" s="1"/>
      <c r="X117" s="1"/>
      <c r="Y117" s="1"/>
    </row>
    <row r="118" spans="1:25" ht="12.75" customHeight="1" x14ac:dyDescent="0.2">
      <c r="A118" s="1"/>
      <c r="B118" s="44"/>
      <c r="C118" s="49"/>
      <c r="D118" s="1"/>
      <c r="E118" s="104">
        <v>0</v>
      </c>
      <c r="F118" s="164">
        <f>+C118/4</f>
        <v>0</v>
      </c>
      <c r="G118" s="164">
        <f>+C118/4</f>
        <v>0</v>
      </c>
      <c r="H118" s="164">
        <f>+C118/4</f>
        <v>0</v>
      </c>
      <c r="I118" s="660">
        <f>+C118/4</f>
        <v>0</v>
      </c>
      <c r="J118" s="132">
        <v>0</v>
      </c>
      <c r="K118" s="1"/>
      <c r="L118" s="1"/>
      <c r="M118" s="1"/>
      <c r="W118" s="1"/>
      <c r="X118" s="1"/>
      <c r="Y118" s="1"/>
    </row>
    <row r="119" spans="1:25" ht="12.75" customHeight="1" x14ac:dyDescent="0.2">
      <c r="A119" s="1"/>
      <c r="B119" s="8"/>
      <c r="C119" s="107">
        <f>C117+C118</f>
        <v>33218</v>
      </c>
      <c r="D119" s="1"/>
      <c r="E119" s="120">
        <f t="shared" ref="E119:J119" si="10">SUM(E116:E118)</f>
        <v>3321.8</v>
      </c>
      <c r="F119" s="165">
        <f t="shared" si="10"/>
        <v>6643.6</v>
      </c>
      <c r="G119" s="165">
        <f t="shared" si="10"/>
        <v>6643.6</v>
      </c>
      <c r="H119" s="165">
        <f t="shared" si="10"/>
        <v>6643.6</v>
      </c>
      <c r="I119" s="165">
        <f t="shared" si="10"/>
        <v>6643.6</v>
      </c>
      <c r="J119" s="674">
        <f t="shared" si="10"/>
        <v>3321.8</v>
      </c>
      <c r="K119" s="89">
        <f>SUM(E119:J119)</f>
        <v>33218</v>
      </c>
      <c r="L119" s="5" t="s">
        <v>646</v>
      </c>
      <c r="M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W120" s="1"/>
      <c r="X120" s="1"/>
      <c r="Y120" s="1"/>
    </row>
    <row r="121" spans="1:25" ht="12.75" customHeight="1" thickBo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W121" s="1"/>
      <c r="X121" s="1"/>
      <c r="Y121" s="1"/>
    </row>
    <row r="122" spans="1:25" ht="12.75" customHeight="1" thickBot="1" x14ac:dyDescent="0.25">
      <c r="A122" s="1"/>
      <c r="B122" s="1044" t="s">
        <v>571</v>
      </c>
      <c r="C122" s="1045"/>
      <c r="D122" s="1"/>
      <c r="E122" s="1046" t="s">
        <v>442</v>
      </c>
      <c r="F122" s="1047"/>
      <c r="G122" s="1047"/>
      <c r="H122" s="1047"/>
      <c r="I122" s="1047"/>
      <c r="J122" s="1045"/>
      <c r="K122" s="1"/>
      <c r="L122" s="1"/>
      <c r="M122" s="1"/>
      <c r="W122" s="1"/>
      <c r="X122" s="1"/>
      <c r="Y122" s="1"/>
    </row>
    <row r="123" spans="1:25" ht="12.75" customHeight="1" x14ac:dyDescent="0.2">
      <c r="A123" s="1"/>
      <c r="B123" s="101" t="s">
        <v>444</v>
      </c>
      <c r="C123" s="102">
        <v>64991</v>
      </c>
      <c r="D123" s="1"/>
      <c r="E123" s="103">
        <v>2018</v>
      </c>
      <c r="F123" s="159">
        <v>2019</v>
      </c>
      <c r="G123" s="159">
        <v>2020</v>
      </c>
      <c r="H123" s="159">
        <v>2021</v>
      </c>
      <c r="I123" s="159">
        <v>2022</v>
      </c>
      <c r="J123" s="101">
        <v>2023</v>
      </c>
      <c r="K123" s="1"/>
      <c r="L123" s="1"/>
      <c r="M123" s="1"/>
      <c r="W123" s="1"/>
      <c r="X123" s="1"/>
      <c r="Y123" s="1"/>
    </row>
    <row r="124" spans="1:25" ht="12.75" customHeight="1" x14ac:dyDescent="0.2">
      <c r="A124" s="1"/>
      <c r="B124" s="8"/>
      <c r="C124" s="49"/>
      <c r="D124" s="1"/>
      <c r="E124" s="104"/>
      <c r="F124" s="164"/>
      <c r="G124" s="164"/>
      <c r="H124" s="164"/>
      <c r="I124" s="164"/>
      <c r="J124" s="134"/>
      <c r="K124" s="1"/>
      <c r="L124" s="1"/>
      <c r="M124" s="1"/>
      <c r="W124" s="1"/>
      <c r="X124" s="1"/>
      <c r="Y124" s="1"/>
    </row>
    <row r="125" spans="1:25" ht="12.75" customHeight="1" x14ac:dyDescent="0.2">
      <c r="A125" s="1"/>
      <c r="B125" s="8"/>
      <c r="C125" s="49"/>
      <c r="D125" s="1"/>
      <c r="E125" s="104"/>
      <c r="F125" s="164"/>
      <c r="G125" s="164"/>
      <c r="H125" s="164"/>
      <c r="I125" s="164"/>
      <c r="J125" s="49"/>
      <c r="K125" s="1"/>
      <c r="L125" s="1"/>
      <c r="M125" s="1"/>
      <c r="W125" s="1"/>
      <c r="X125" s="1"/>
      <c r="Y125" s="1"/>
    </row>
    <row r="126" spans="1:25" ht="12.75" customHeight="1" x14ac:dyDescent="0.2">
      <c r="A126" s="1"/>
      <c r="B126" s="44" t="s">
        <v>463</v>
      </c>
      <c r="C126" s="49">
        <v>64991</v>
      </c>
      <c r="D126" s="1"/>
      <c r="E126" s="104">
        <f>+C126*0.1</f>
        <v>6499.1</v>
      </c>
      <c r="F126" s="164">
        <f>+C126/5</f>
        <v>12998.2</v>
      </c>
      <c r="G126" s="164">
        <f>+C126/5</f>
        <v>12998.2</v>
      </c>
      <c r="H126" s="164">
        <f>+C126/5</f>
        <v>12998.2</v>
      </c>
      <c r="I126" s="660">
        <f>+C126/5</f>
        <v>12998.2</v>
      </c>
      <c r="J126" s="132">
        <f>+E126</f>
        <v>6499.1</v>
      </c>
      <c r="K126" s="1"/>
      <c r="L126" s="1"/>
      <c r="M126" s="1"/>
      <c r="W126" s="1"/>
      <c r="X126" s="1"/>
      <c r="Y126" s="1"/>
    </row>
    <row r="127" spans="1:25" ht="12.75" customHeight="1" x14ac:dyDescent="0.2">
      <c r="A127" s="1"/>
      <c r="B127" s="44"/>
      <c r="C127" s="49"/>
      <c r="D127" s="1"/>
      <c r="E127" s="104">
        <v>0</v>
      </c>
      <c r="F127" s="164">
        <f>+C127/4</f>
        <v>0</v>
      </c>
      <c r="G127" s="164">
        <f>+C127/4</f>
        <v>0</v>
      </c>
      <c r="H127" s="164">
        <f>+C127/4</f>
        <v>0</v>
      </c>
      <c r="I127" s="660">
        <f>+C127/4</f>
        <v>0</v>
      </c>
      <c r="J127" s="132">
        <v>0</v>
      </c>
      <c r="K127" s="1"/>
      <c r="L127" s="1"/>
      <c r="M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8"/>
      <c r="C128" s="107">
        <f>C126+C127</f>
        <v>64991</v>
      </c>
      <c r="D128" s="1"/>
      <c r="E128" s="120">
        <f t="shared" ref="E128:J128" si="11">SUM(E125:E127)</f>
        <v>6499.1</v>
      </c>
      <c r="F128" s="165">
        <f t="shared" si="11"/>
        <v>12998.2</v>
      </c>
      <c r="G128" s="291">
        <f t="shared" si="11"/>
        <v>12998.2</v>
      </c>
      <c r="H128" s="165">
        <f t="shared" si="11"/>
        <v>12998.2</v>
      </c>
      <c r="I128" s="165">
        <f t="shared" si="11"/>
        <v>12998.2</v>
      </c>
      <c r="J128" s="674">
        <f t="shared" si="11"/>
        <v>6499.1</v>
      </c>
      <c r="K128" s="89">
        <f>SUM(E128:J128)</f>
        <v>64991.000000000007</v>
      </c>
      <c r="L128" s="5" t="s">
        <v>646</v>
      </c>
      <c r="M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U129" s="1"/>
      <c r="V129" s="1"/>
      <c r="W129" s="1"/>
      <c r="X129" s="1"/>
      <c r="Y129" s="1"/>
    </row>
    <row r="130" spans="1:25" ht="12.75" customHeight="1" thickBo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U130" s="1"/>
      <c r="V130" s="1"/>
      <c r="W130" s="1"/>
      <c r="X130" s="1"/>
      <c r="Y130" s="1"/>
    </row>
    <row r="131" spans="1:25" ht="12.75" customHeight="1" thickBot="1" x14ac:dyDescent="0.25">
      <c r="A131" s="1"/>
      <c r="B131" s="1044" t="s">
        <v>572</v>
      </c>
      <c r="C131" s="1045"/>
      <c r="D131" s="1"/>
      <c r="E131" s="1063" t="s">
        <v>442</v>
      </c>
      <c r="F131" s="1064"/>
      <c r="G131" s="1064"/>
      <c r="H131" s="1064"/>
      <c r="I131" s="1064"/>
      <c r="J131" s="1064"/>
      <c r="K131" s="1065"/>
      <c r="L131" s="1"/>
      <c r="M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01" t="s">
        <v>444</v>
      </c>
      <c r="C132" s="102">
        <f>+C137</f>
        <v>56608</v>
      </c>
      <c r="D132" s="1"/>
      <c r="E132" s="103">
        <v>2018</v>
      </c>
      <c r="F132" s="159">
        <v>2019</v>
      </c>
      <c r="G132" s="159">
        <v>2020</v>
      </c>
      <c r="H132" s="159">
        <v>2021</v>
      </c>
      <c r="I132" s="159">
        <v>2022</v>
      </c>
      <c r="J132" s="133">
        <v>2023</v>
      </c>
      <c r="K132" s="167">
        <v>2024</v>
      </c>
      <c r="L132" s="1"/>
      <c r="M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8"/>
      <c r="C133" s="49"/>
      <c r="D133" s="1"/>
      <c r="E133" s="104"/>
      <c r="F133" s="164"/>
      <c r="G133" s="164"/>
      <c r="H133" s="164"/>
      <c r="I133" s="164"/>
      <c r="J133" s="134"/>
      <c r="K133" s="134"/>
      <c r="L133" s="1"/>
      <c r="M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8"/>
      <c r="C134" s="49"/>
      <c r="D134" s="1"/>
      <c r="E134" s="104"/>
      <c r="F134" s="164"/>
      <c r="G134" s="164"/>
      <c r="H134" s="164"/>
      <c r="I134" s="164"/>
      <c r="J134" s="49"/>
      <c r="K134" s="49"/>
      <c r="L134" s="1"/>
      <c r="M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44" t="s">
        <v>463</v>
      </c>
      <c r="C135" s="49">
        <v>36661</v>
      </c>
      <c r="D135" s="1"/>
      <c r="E135" s="104">
        <f>+C135*0.1</f>
        <v>3666.1000000000004</v>
      </c>
      <c r="F135" s="164">
        <f>+C135/5</f>
        <v>7332.2</v>
      </c>
      <c r="G135" s="164">
        <f>+C135/5</f>
        <v>7332.2</v>
      </c>
      <c r="H135" s="164">
        <f>+C135/5</f>
        <v>7332.2</v>
      </c>
      <c r="I135" s="660">
        <f>+C135/5</f>
        <v>7332.2</v>
      </c>
      <c r="J135" s="675">
        <f>+E135</f>
        <v>3666.1000000000004</v>
      </c>
      <c r="K135" s="132">
        <v>0</v>
      </c>
      <c r="L135" s="1"/>
      <c r="M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58" t="s">
        <v>645</v>
      </c>
      <c r="C136" s="49">
        <v>19947</v>
      </c>
      <c r="D136" s="1"/>
      <c r="E136" s="104">
        <v>0</v>
      </c>
      <c r="F136" s="164">
        <v>0</v>
      </c>
      <c r="G136" s="164">
        <f>+C136/5</f>
        <v>3989.4</v>
      </c>
      <c r="H136" s="164">
        <f>+G136</f>
        <v>3989.4</v>
      </c>
      <c r="I136" s="660">
        <f>+H136</f>
        <v>3989.4</v>
      </c>
      <c r="J136" s="675">
        <f>+I136</f>
        <v>3989.4</v>
      </c>
      <c r="K136" s="132">
        <f>+J136</f>
        <v>3989.4</v>
      </c>
      <c r="L136" s="989" t="s">
        <v>1181</v>
      </c>
      <c r="M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8"/>
      <c r="C137" s="990">
        <f>C135+C136</f>
        <v>56608</v>
      </c>
      <c r="D137" s="1"/>
      <c r="E137" s="120">
        <f t="shared" ref="E137:J137" si="12">SUM(E134:E136)</f>
        <v>3666.1000000000004</v>
      </c>
      <c r="F137" s="165">
        <f t="shared" si="12"/>
        <v>7332.2</v>
      </c>
      <c r="G137" s="165">
        <f t="shared" si="12"/>
        <v>11321.6</v>
      </c>
      <c r="H137" s="165">
        <f t="shared" si="12"/>
        <v>11321.6</v>
      </c>
      <c r="I137" s="165">
        <f t="shared" si="12"/>
        <v>11321.6</v>
      </c>
      <c r="J137" s="674">
        <f t="shared" si="12"/>
        <v>7655.5</v>
      </c>
      <c r="K137" s="107">
        <f>SUM(K134:K136)</f>
        <v>3989.4</v>
      </c>
      <c r="L137" s="89">
        <f>SUM(E137:K137)</f>
        <v>56608</v>
      </c>
      <c r="M137" s="5" t="s">
        <v>646</v>
      </c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U138" s="1"/>
      <c r="V138" s="1"/>
      <c r="W138" s="1"/>
      <c r="X138" s="1"/>
      <c r="Y138" s="1"/>
    </row>
    <row r="139" spans="1:25" ht="12.75" customHeight="1" thickBo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U139" s="1"/>
      <c r="V139" s="1"/>
      <c r="W139" s="1"/>
      <c r="X139" s="1"/>
      <c r="Y139" s="1"/>
    </row>
    <row r="140" spans="1:25" ht="12.75" customHeight="1" thickBot="1" x14ac:dyDescent="0.25">
      <c r="A140" s="1"/>
      <c r="B140" s="1044" t="s">
        <v>573</v>
      </c>
      <c r="C140" s="1045"/>
      <c r="D140" s="1"/>
      <c r="E140" s="1046" t="s">
        <v>442</v>
      </c>
      <c r="F140" s="1047"/>
      <c r="G140" s="1047"/>
      <c r="H140" s="1047"/>
      <c r="I140" s="1047"/>
      <c r="J140" s="1045"/>
      <c r="K140" s="1"/>
      <c r="L140" s="1"/>
      <c r="M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01" t="s">
        <v>444</v>
      </c>
      <c r="C141" s="102">
        <f>C146</f>
        <v>63836.380000000005</v>
      </c>
      <c r="D141" s="1"/>
      <c r="E141" s="103">
        <v>2018</v>
      </c>
      <c r="F141" s="159">
        <v>2019</v>
      </c>
      <c r="G141" s="159">
        <v>2020</v>
      </c>
      <c r="H141" s="159">
        <v>2021</v>
      </c>
      <c r="I141" s="159">
        <v>2022</v>
      </c>
      <c r="J141" s="101">
        <v>2023</v>
      </c>
      <c r="K141" s="1"/>
      <c r="L141" s="1"/>
      <c r="M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8"/>
      <c r="C142" s="49"/>
      <c r="D142" s="1"/>
      <c r="E142" s="104"/>
      <c r="F142" s="164"/>
      <c r="G142" s="164"/>
      <c r="H142" s="164"/>
      <c r="I142" s="164"/>
      <c r="J142" s="134"/>
      <c r="K142" s="1"/>
      <c r="L142" s="88">
        <f>67800-K146</f>
        <v>3963.8960000000079</v>
      </c>
      <c r="M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8" t="s">
        <v>477</v>
      </c>
      <c r="C143" s="49">
        <v>32715</v>
      </c>
      <c r="D143" s="1"/>
      <c r="E143" s="104">
        <f>C143/10</f>
        <v>3271.5</v>
      </c>
      <c r="F143" s="164">
        <f>C143/5</f>
        <v>6543</v>
      </c>
      <c r="G143" s="164">
        <f>F143</f>
        <v>6543</v>
      </c>
      <c r="H143" s="164">
        <f>G143</f>
        <v>6543</v>
      </c>
      <c r="I143" s="164">
        <f>H143</f>
        <v>6543</v>
      </c>
      <c r="J143" s="49">
        <f>E143</f>
        <v>3271.5</v>
      </c>
      <c r="K143" s="1"/>
      <c r="L143" s="1"/>
      <c r="M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44" t="s">
        <v>478</v>
      </c>
      <c r="C144" s="49">
        <v>31121.38</v>
      </c>
      <c r="D144" s="1"/>
      <c r="E144" s="104">
        <f>C144/5</f>
        <v>6224.2759999999998</v>
      </c>
      <c r="F144" s="164">
        <v>6224</v>
      </c>
      <c r="G144" s="164">
        <f>+C144/5</f>
        <v>6224.2759999999998</v>
      </c>
      <c r="H144" s="164">
        <f>+C144/5</f>
        <v>6224.2759999999998</v>
      </c>
      <c r="I144" s="660">
        <f>+C144/5</f>
        <v>6224.2759999999998</v>
      </c>
      <c r="J144" s="49"/>
      <c r="K144" s="1"/>
      <c r="L144" s="1"/>
      <c r="M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44"/>
      <c r="C145" s="49"/>
      <c r="D145" s="1"/>
      <c r="E145" s="104">
        <v>0</v>
      </c>
      <c r="F145" s="164">
        <f>+C145/4</f>
        <v>0</v>
      </c>
      <c r="G145" s="164">
        <f>+C145/4</f>
        <v>0</v>
      </c>
      <c r="H145" s="164">
        <f>+C145/4</f>
        <v>0</v>
      </c>
      <c r="I145" s="660">
        <f>+C145/4</f>
        <v>0</v>
      </c>
      <c r="J145" s="132">
        <v>0</v>
      </c>
      <c r="K145" s="1"/>
      <c r="L145" s="1"/>
      <c r="M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8"/>
      <c r="C146" s="107">
        <f>C143+C144</f>
        <v>63836.380000000005</v>
      </c>
      <c r="D146" s="1"/>
      <c r="E146" s="120">
        <f t="shared" ref="E146:J146" si="13">SUM(E143:E145)</f>
        <v>9495.7759999999998</v>
      </c>
      <c r="F146" s="165">
        <f t="shared" si="13"/>
        <v>12767</v>
      </c>
      <c r="G146" s="165">
        <f t="shared" si="13"/>
        <v>12767.276</v>
      </c>
      <c r="H146" s="165">
        <f t="shared" si="13"/>
        <v>12767.276</v>
      </c>
      <c r="I146" s="165">
        <f t="shared" si="13"/>
        <v>12767.276</v>
      </c>
      <c r="J146" s="674">
        <f t="shared" si="13"/>
        <v>3271.5</v>
      </c>
      <c r="K146" s="89">
        <f>SUM(E146:J146)</f>
        <v>63836.103999999992</v>
      </c>
      <c r="L146" s="5" t="s">
        <v>646</v>
      </c>
      <c r="M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U147" s="1"/>
      <c r="V147" s="1"/>
      <c r="W147" s="1"/>
      <c r="X147" s="1"/>
      <c r="Y147" s="1"/>
    </row>
    <row r="148" spans="1:25" thickBo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U148" s="1"/>
      <c r="V148" s="1"/>
      <c r="W148" s="1"/>
      <c r="X148" s="1"/>
      <c r="Y148" s="1"/>
    </row>
    <row r="149" spans="1:25" ht="12.75" customHeight="1" thickBot="1" x14ac:dyDescent="0.25">
      <c r="A149" s="1"/>
      <c r="B149" s="1044" t="s">
        <v>574</v>
      </c>
      <c r="C149" s="1045"/>
      <c r="D149" s="1"/>
      <c r="E149" s="1046" t="s">
        <v>442</v>
      </c>
      <c r="F149" s="1047"/>
      <c r="G149" s="1047"/>
      <c r="H149" s="1047"/>
      <c r="I149" s="1047"/>
      <c r="J149" s="1045"/>
      <c r="K149" s="1"/>
      <c r="L149" s="1"/>
      <c r="M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01" t="s">
        <v>444</v>
      </c>
      <c r="C150" s="102">
        <v>20000</v>
      </c>
      <c r="D150" s="1"/>
      <c r="E150" s="103">
        <v>2018</v>
      </c>
      <c r="F150" s="159">
        <v>2019</v>
      </c>
      <c r="G150" s="159">
        <v>2020</v>
      </c>
      <c r="H150" s="159">
        <v>2021</v>
      </c>
      <c r="I150" s="159">
        <v>2022</v>
      </c>
      <c r="J150" s="101">
        <v>2023</v>
      </c>
      <c r="K150" s="1"/>
      <c r="L150" s="1"/>
      <c r="M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8"/>
      <c r="C151" s="49"/>
      <c r="D151" s="1"/>
      <c r="E151" s="104"/>
      <c r="F151" s="164"/>
      <c r="G151" s="164"/>
      <c r="H151" s="164"/>
      <c r="I151" s="164"/>
      <c r="J151" s="134"/>
      <c r="K151" s="1"/>
      <c r="L151" s="1"/>
      <c r="M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8"/>
      <c r="C152" s="49"/>
      <c r="D152" s="1"/>
      <c r="E152" s="104"/>
      <c r="F152" s="164"/>
      <c r="G152" s="164"/>
      <c r="H152" s="164"/>
      <c r="I152" s="164"/>
      <c r="J152" s="49"/>
      <c r="K152" s="1"/>
      <c r="L152" s="1"/>
      <c r="M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44" t="s">
        <v>463</v>
      </c>
      <c r="C153" s="49">
        <v>20000</v>
      </c>
      <c r="D153" s="1"/>
      <c r="E153" s="104">
        <f>+C153*0.1</f>
        <v>2000</v>
      </c>
      <c r="F153" s="164">
        <f>+C153/5</f>
        <v>4000</v>
      </c>
      <c r="G153" s="164">
        <f>+C153/5</f>
        <v>4000</v>
      </c>
      <c r="H153" s="164">
        <f>+C153/5</f>
        <v>4000</v>
      </c>
      <c r="I153" s="660">
        <f>+C153/5</f>
        <v>4000</v>
      </c>
      <c r="J153" s="132">
        <f>+E153</f>
        <v>2000</v>
      </c>
      <c r="K153" s="1"/>
      <c r="L153" s="1"/>
      <c r="M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44"/>
      <c r="C154" s="49"/>
      <c r="D154" s="1"/>
      <c r="E154" s="104">
        <v>0</v>
      </c>
      <c r="F154" s="164">
        <f>+C154/4</f>
        <v>0</v>
      </c>
      <c r="G154" s="164">
        <f>+C154/4</f>
        <v>0</v>
      </c>
      <c r="H154" s="164">
        <f>+C154/4</f>
        <v>0</v>
      </c>
      <c r="I154" s="660">
        <f>+C154/4</f>
        <v>0</v>
      </c>
      <c r="J154" s="132">
        <v>0</v>
      </c>
      <c r="K154" s="1"/>
      <c r="L154" s="1"/>
      <c r="M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8"/>
      <c r="C155" s="107">
        <f>C153+C154</f>
        <v>20000</v>
      </c>
      <c r="D155" s="1"/>
      <c r="E155" s="120">
        <f t="shared" ref="E155:J155" si="14">SUM(E152:E154)</f>
        <v>2000</v>
      </c>
      <c r="F155" s="165">
        <f t="shared" si="14"/>
        <v>4000</v>
      </c>
      <c r="G155" s="165">
        <f t="shared" si="14"/>
        <v>4000</v>
      </c>
      <c r="H155" s="165">
        <f t="shared" si="14"/>
        <v>4000</v>
      </c>
      <c r="I155" s="165">
        <f t="shared" si="14"/>
        <v>4000</v>
      </c>
      <c r="J155" s="674">
        <f t="shared" si="14"/>
        <v>2000</v>
      </c>
      <c r="K155" s="89">
        <f>SUM(E155:J155)</f>
        <v>20000</v>
      </c>
      <c r="L155" s="5" t="s">
        <v>646</v>
      </c>
      <c r="M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U156" s="1"/>
      <c r="V156" s="1"/>
      <c r="W156" s="1"/>
      <c r="X156" s="1"/>
      <c r="Y156" s="1"/>
    </row>
    <row r="157" spans="1:25" ht="12.75" customHeight="1" thickBo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U157" s="1"/>
      <c r="V157" s="1"/>
      <c r="W157" s="1"/>
      <c r="X157" s="1"/>
      <c r="Y157" s="1"/>
    </row>
    <row r="158" spans="1:25" ht="12.75" customHeight="1" thickBot="1" x14ac:dyDescent="0.25">
      <c r="A158" s="1"/>
      <c r="B158" s="1040" t="s">
        <v>575</v>
      </c>
      <c r="C158" s="1041"/>
      <c r="D158" s="1"/>
      <c r="E158" s="1049" t="s">
        <v>442</v>
      </c>
      <c r="F158" s="1050"/>
      <c r="G158" s="1050"/>
      <c r="H158" s="1050"/>
      <c r="I158" s="1050"/>
      <c r="J158" s="1050"/>
      <c r="K158" s="1051"/>
      <c r="L158" s="1"/>
      <c r="M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01" t="s">
        <v>444</v>
      </c>
      <c r="C159" s="102">
        <f>C165</f>
        <v>606409.54</v>
      </c>
      <c r="D159" s="1"/>
      <c r="E159" s="159">
        <v>2019</v>
      </c>
      <c r="F159" s="159">
        <v>2020</v>
      </c>
      <c r="G159" s="159">
        <v>2021</v>
      </c>
      <c r="H159" s="159">
        <v>2022</v>
      </c>
      <c r="I159" s="101">
        <v>2023</v>
      </c>
      <c r="J159" s="133">
        <v>2024</v>
      </c>
      <c r="K159" s="167">
        <v>2025</v>
      </c>
      <c r="L159" s="1"/>
      <c r="M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8"/>
      <c r="C160" s="49"/>
      <c r="D160" s="1"/>
      <c r="E160" s="164"/>
      <c r="F160" s="164"/>
      <c r="G160" s="164"/>
      <c r="H160" s="164"/>
      <c r="I160" s="49"/>
      <c r="J160" s="134"/>
      <c r="K160" s="134"/>
      <c r="L160" s="1"/>
      <c r="M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8"/>
      <c r="C161" s="49"/>
      <c r="D161" s="1"/>
      <c r="E161" s="164"/>
      <c r="F161" s="164"/>
      <c r="G161" s="164"/>
      <c r="H161" s="164"/>
      <c r="I161" s="49"/>
      <c r="J161" s="49"/>
      <c r="K161" s="49"/>
      <c r="L161" s="1"/>
      <c r="M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44" t="s">
        <v>465</v>
      </c>
      <c r="C162" s="49">
        <v>479813.8</v>
      </c>
      <c r="D162" s="1"/>
      <c r="E162" s="164">
        <f>+C162*0.1</f>
        <v>47981.380000000005</v>
      </c>
      <c r="F162" s="164">
        <f>+C162/5</f>
        <v>95962.76</v>
      </c>
      <c r="G162" s="164">
        <f>+C162/5</f>
        <v>95962.76</v>
      </c>
      <c r="H162" s="164">
        <f>+C162/5</f>
        <v>95962.76</v>
      </c>
      <c r="I162" s="132">
        <f>+C162/5</f>
        <v>95962.76</v>
      </c>
      <c r="J162" s="132">
        <f>+E162</f>
        <v>47981.380000000005</v>
      </c>
      <c r="K162" s="132"/>
      <c r="L162" s="1"/>
      <c r="M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58" t="s">
        <v>534</v>
      </c>
      <c r="C163" s="49">
        <v>104612.56</v>
      </c>
      <c r="D163" s="1"/>
      <c r="E163" s="164">
        <v>0</v>
      </c>
      <c r="F163" s="164">
        <f>+C163*0.125</f>
        <v>13076.57</v>
      </c>
      <c r="G163" s="164">
        <f>+C163*0.25</f>
        <v>26153.14</v>
      </c>
      <c r="H163" s="164">
        <f>+C163/4</f>
        <v>26153.14</v>
      </c>
      <c r="I163" s="132">
        <f>+C163/4</f>
        <v>26153.14</v>
      </c>
      <c r="J163" s="132">
        <f>+C163*0.125</f>
        <v>13076.57</v>
      </c>
      <c r="K163" s="132"/>
      <c r="L163" s="1"/>
      <c r="M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58" t="s">
        <v>535</v>
      </c>
      <c r="C164" s="49">
        <v>21983.18</v>
      </c>
      <c r="D164" s="1"/>
      <c r="E164" s="164">
        <v>0</v>
      </c>
      <c r="F164" s="164">
        <f>+C164*0.1</f>
        <v>2198.3180000000002</v>
      </c>
      <c r="G164" s="164">
        <f>+C164*0.2</f>
        <v>4396.6360000000004</v>
      </c>
      <c r="H164" s="164">
        <f>+C164*0.2</f>
        <v>4396.6360000000004</v>
      </c>
      <c r="I164" s="132">
        <f>+C164*0.2</f>
        <v>4396.6360000000004</v>
      </c>
      <c r="J164" s="132">
        <f>+C164*0.2</f>
        <v>4396.6360000000004</v>
      </c>
      <c r="K164" s="132">
        <f>+C164*0.1</f>
        <v>2198.3180000000002</v>
      </c>
      <c r="L164" s="1"/>
      <c r="M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8"/>
      <c r="C165" s="107">
        <f>C162+C163+C164</f>
        <v>606409.54</v>
      </c>
      <c r="D165" s="1"/>
      <c r="E165" s="165">
        <f t="shared" ref="E165:K165" si="15">SUM(E161:E164)</f>
        <v>47981.380000000005</v>
      </c>
      <c r="F165" s="165">
        <f t="shared" si="15"/>
        <v>111237.64799999999</v>
      </c>
      <c r="G165" s="165">
        <f t="shared" si="15"/>
        <v>126512.53599999999</v>
      </c>
      <c r="H165" s="165">
        <f t="shared" si="15"/>
        <v>126512.53599999999</v>
      </c>
      <c r="I165" s="674">
        <f t="shared" si="15"/>
        <v>126512.53599999999</v>
      </c>
      <c r="J165" s="107">
        <f t="shared" si="15"/>
        <v>65454.586000000003</v>
      </c>
      <c r="K165" s="107">
        <f t="shared" si="15"/>
        <v>2198.3180000000002</v>
      </c>
      <c r="L165" s="89">
        <f>SUM(E165:K165)</f>
        <v>606409.53999999992</v>
      </c>
      <c r="M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U166" s="1"/>
      <c r="V166" s="1"/>
      <c r="W166" s="1"/>
      <c r="X166" s="1"/>
      <c r="Y166" s="1"/>
    </row>
    <row r="167" spans="1:25" ht="12.75" customHeight="1" thickBo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U167" s="1"/>
      <c r="V167" s="1"/>
      <c r="W167" s="1"/>
      <c r="X167" s="1"/>
      <c r="Y167" s="1"/>
    </row>
    <row r="168" spans="1:25" ht="12.75" customHeight="1" thickBot="1" x14ac:dyDescent="0.25">
      <c r="A168" s="1"/>
      <c r="B168" s="1044" t="s">
        <v>576</v>
      </c>
      <c r="C168" s="1045"/>
      <c r="D168" s="1"/>
      <c r="E168" s="1046" t="s">
        <v>442</v>
      </c>
      <c r="F168" s="1047"/>
      <c r="G168" s="1047"/>
      <c r="H168" s="1047"/>
      <c r="I168" s="1047"/>
      <c r="J168" s="1045"/>
      <c r="K168" s="1"/>
      <c r="L168" s="1"/>
      <c r="M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01" t="s">
        <v>444</v>
      </c>
      <c r="C169" s="102">
        <f>C174</f>
        <v>39375.5</v>
      </c>
      <c r="D169" s="1"/>
      <c r="E169" s="159">
        <v>2019</v>
      </c>
      <c r="F169" s="159">
        <v>2020</v>
      </c>
      <c r="G169" s="159">
        <v>2021</v>
      </c>
      <c r="H169" s="159">
        <v>2022</v>
      </c>
      <c r="I169" s="101">
        <v>2023</v>
      </c>
      <c r="J169" s="101">
        <v>2024</v>
      </c>
      <c r="K169" s="1"/>
      <c r="L169" s="1"/>
      <c r="M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8"/>
      <c r="C170" s="49"/>
      <c r="D170" s="1"/>
      <c r="E170" s="164"/>
      <c r="F170" s="164"/>
      <c r="G170" s="164"/>
      <c r="H170" s="164"/>
      <c r="I170" s="49"/>
      <c r="J170" s="134"/>
      <c r="K170" s="1"/>
      <c r="L170" s="1"/>
      <c r="M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8"/>
      <c r="C171" s="49"/>
      <c r="D171" s="1"/>
      <c r="E171" s="164"/>
      <c r="F171" s="164"/>
      <c r="G171" s="164"/>
      <c r="H171" s="164"/>
      <c r="I171" s="49"/>
      <c r="J171" s="49"/>
      <c r="K171" s="1"/>
      <c r="L171" s="1"/>
      <c r="M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44" t="s">
        <v>465</v>
      </c>
      <c r="C172" s="49">
        <v>39375.5</v>
      </c>
      <c r="D172" s="1"/>
      <c r="E172" s="164">
        <v>4708.4399999999996</v>
      </c>
      <c r="F172" s="164">
        <v>9416.8799999999992</v>
      </c>
      <c r="G172" s="164">
        <v>9416.8799999999992</v>
      </c>
      <c r="H172" s="164">
        <v>9416.8799999999992</v>
      </c>
      <c r="I172" s="49">
        <v>5562.44</v>
      </c>
      <c r="J172" s="132">
        <v>854</v>
      </c>
      <c r="K172" s="1"/>
      <c r="L172" s="1"/>
      <c r="M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44"/>
      <c r="C173" s="49"/>
      <c r="D173" s="1"/>
      <c r="E173" s="164">
        <v>0</v>
      </c>
      <c r="F173" s="164">
        <f>+C173/4</f>
        <v>0</v>
      </c>
      <c r="G173" s="164">
        <f>+C173/4</f>
        <v>0</v>
      </c>
      <c r="H173" s="164">
        <f>+C173/4</f>
        <v>0</v>
      </c>
      <c r="I173" s="132">
        <f>+C173/4</f>
        <v>0</v>
      </c>
      <c r="J173" s="132">
        <v>0</v>
      </c>
      <c r="K173" s="1"/>
      <c r="L173" s="1"/>
      <c r="M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8"/>
      <c r="C174" s="107">
        <f>C172+C173</f>
        <v>39375.5</v>
      </c>
      <c r="D174" s="1"/>
      <c r="E174" s="165">
        <f t="shared" ref="E174:J174" si="16">SUM(E171:E173)</f>
        <v>4708.4399999999996</v>
      </c>
      <c r="F174" s="165">
        <f t="shared" si="16"/>
        <v>9416.8799999999992</v>
      </c>
      <c r="G174" s="165">
        <f t="shared" si="16"/>
        <v>9416.8799999999992</v>
      </c>
      <c r="H174" s="165">
        <f t="shared" si="16"/>
        <v>9416.8799999999992</v>
      </c>
      <c r="I174" s="674">
        <f t="shared" si="16"/>
        <v>5562.44</v>
      </c>
      <c r="J174" s="107">
        <f t="shared" si="16"/>
        <v>854</v>
      </c>
      <c r="K174" s="89">
        <f>SUM(E174:J174)</f>
        <v>39375.519999999997</v>
      </c>
      <c r="L174" s="5" t="s">
        <v>646</v>
      </c>
      <c r="M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U175" s="44"/>
      <c r="V175" s="1"/>
      <c r="W175" s="1"/>
      <c r="X175" s="1"/>
      <c r="Y175" s="1"/>
    </row>
    <row r="176" spans="1:25" ht="12.75" customHeight="1" thickBo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U176" s="1"/>
      <c r="V176" s="1"/>
      <c r="W176" s="1"/>
      <c r="X176" s="1"/>
      <c r="Y176" s="1"/>
    </row>
    <row r="177" spans="1:25" ht="12.75" customHeight="1" thickBot="1" x14ac:dyDescent="0.25">
      <c r="A177" s="1"/>
      <c r="B177" s="1044" t="s">
        <v>577</v>
      </c>
      <c r="C177" s="1045"/>
      <c r="D177" s="1"/>
      <c r="E177" s="1046" t="s">
        <v>442</v>
      </c>
      <c r="F177" s="1047"/>
      <c r="G177" s="1047"/>
      <c r="H177" s="1047"/>
      <c r="I177" s="1047"/>
      <c r="J177" s="1045"/>
      <c r="K177" s="1"/>
      <c r="L177" s="1"/>
      <c r="M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01" t="s">
        <v>444</v>
      </c>
      <c r="C178" s="102">
        <f>C183</f>
        <v>37740.699999999997</v>
      </c>
      <c r="D178" s="1"/>
      <c r="E178" s="159">
        <v>2019</v>
      </c>
      <c r="F178" s="159">
        <v>2020</v>
      </c>
      <c r="G178" s="159">
        <v>2021</v>
      </c>
      <c r="H178" s="159">
        <v>2022</v>
      </c>
      <c r="I178" s="101">
        <v>2023</v>
      </c>
      <c r="J178" s="101">
        <v>2023</v>
      </c>
      <c r="K178" s="1"/>
      <c r="L178" s="1"/>
      <c r="M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8"/>
      <c r="C179" s="49"/>
      <c r="D179" s="1"/>
      <c r="E179" s="164"/>
      <c r="F179" s="164"/>
      <c r="G179" s="164"/>
      <c r="H179" s="164"/>
      <c r="I179" s="49"/>
      <c r="J179" s="134"/>
      <c r="K179" s="1"/>
      <c r="L179" s="1"/>
      <c r="M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8"/>
      <c r="C180" s="49"/>
      <c r="D180" s="1"/>
      <c r="E180" s="164"/>
      <c r="F180" s="164"/>
      <c r="G180" s="164"/>
      <c r="H180" s="164"/>
      <c r="I180" s="49"/>
      <c r="J180" s="49"/>
      <c r="K180" s="1"/>
      <c r="L180" s="1"/>
      <c r="M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44" t="s">
        <v>465</v>
      </c>
      <c r="C181" s="49">
        <v>30835.5</v>
      </c>
      <c r="D181" s="1"/>
      <c r="E181" s="164">
        <v>3854.44</v>
      </c>
      <c r="F181" s="164">
        <v>7708.88</v>
      </c>
      <c r="G181" s="164">
        <v>7708.88</v>
      </c>
      <c r="H181" s="164">
        <v>7708.88</v>
      </c>
      <c r="I181" s="49">
        <v>3854.44</v>
      </c>
      <c r="J181" s="132"/>
      <c r="K181" s="1"/>
      <c r="L181" s="1"/>
      <c r="M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58" t="s">
        <v>543</v>
      </c>
      <c r="C182" s="49">
        <v>6905.2</v>
      </c>
      <c r="D182" s="1"/>
      <c r="E182" s="164">
        <v>0</v>
      </c>
      <c r="F182" s="164">
        <f>+C182*0.2</f>
        <v>1381.04</v>
      </c>
      <c r="G182" s="164">
        <f>+C182*0.2</f>
        <v>1381.04</v>
      </c>
      <c r="H182" s="164">
        <f>+C182*0.2</f>
        <v>1381.04</v>
      </c>
      <c r="I182" s="132">
        <f>+C182*0.2</f>
        <v>1381.04</v>
      </c>
      <c r="J182" s="132">
        <f>+C182*0.2</f>
        <v>1381.04</v>
      </c>
      <c r="K182" s="1"/>
      <c r="L182" s="1"/>
      <c r="M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8"/>
      <c r="C183" s="107">
        <f>C181+C182</f>
        <v>37740.699999999997</v>
      </c>
      <c r="D183" s="1"/>
      <c r="E183" s="165">
        <f t="shared" ref="E183:J183" si="17">SUM(E180:E182)</f>
        <v>3854.44</v>
      </c>
      <c r="F183" s="165">
        <f t="shared" si="17"/>
        <v>9089.92</v>
      </c>
      <c r="G183" s="165">
        <f t="shared" si="17"/>
        <v>9089.92</v>
      </c>
      <c r="H183" s="165">
        <f t="shared" si="17"/>
        <v>9089.92</v>
      </c>
      <c r="I183" s="674">
        <f t="shared" si="17"/>
        <v>5235.4799999999996</v>
      </c>
      <c r="J183" s="107">
        <f t="shared" si="17"/>
        <v>1381.04</v>
      </c>
      <c r="K183" s="89">
        <f>SUM(E183:J183)</f>
        <v>37740.719999999994</v>
      </c>
      <c r="L183" s="5" t="s">
        <v>646</v>
      </c>
      <c r="M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U184" s="1"/>
      <c r="V184" s="1"/>
      <c r="W184" s="1"/>
      <c r="X184" s="1"/>
      <c r="Y184" s="1"/>
    </row>
    <row r="185" spans="1:25" ht="12.75" customHeight="1" thickBo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U185" s="1"/>
      <c r="V185" s="1"/>
      <c r="W185" s="1"/>
      <c r="X185" s="1"/>
      <c r="Y185" s="1"/>
    </row>
    <row r="186" spans="1:25" ht="12.75" customHeight="1" thickBot="1" x14ac:dyDescent="0.25">
      <c r="A186" s="1"/>
      <c r="B186" s="1052" t="s">
        <v>578</v>
      </c>
      <c r="C186" s="1053"/>
      <c r="D186" s="1"/>
      <c r="E186" s="1066" t="s">
        <v>442</v>
      </c>
      <c r="F186" s="1067"/>
      <c r="G186" s="1067"/>
      <c r="H186" s="1067"/>
      <c r="I186" s="1067"/>
      <c r="J186" s="1053"/>
      <c r="K186" s="1"/>
      <c r="L186" s="1"/>
      <c r="M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01" t="s">
        <v>444</v>
      </c>
      <c r="C187" s="102">
        <f>C192</f>
        <v>30835.5</v>
      </c>
      <c r="D187" s="1"/>
      <c r="E187" s="159">
        <v>2019</v>
      </c>
      <c r="F187" s="159">
        <v>2020</v>
      </c>
      <c r="G187" s="159">
        <v>2021</v>
      </c>
      <c r="H187" s="159">
        <v>2022</v>
      </c>
      <c r="I187" s="101">
        <v>2023</v>
      </c>
      <c r="J187" s="101">
        <v>2023</v>
      </c>
      <c r="K187" s="1"/>
      <c r="L187" s="1"/>
      <c r="M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8"/>
      <c r="C188" s="49"/>
      <c r="D188" s="1"/>
      <c r="E188" s="164"/>
      <c r="F188" s="164"/>
      <c r="G188" s="164"/>
      <c r="H188" s="164"/>
      <c r="I188" s="49"/>
      <c r="J188" s="134"/>
      <c r="K188" s="1"/>
      <c r="L188" s="1"/>
      <c r="M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8"/>
      <c r="C189" s="49"/>
      <c r="D189" s="1"/>
      <c r="E189" s="164"/>
      <c r="F189" s="164"/>
      <c r="G189" s="164"/>
      <c r="H189" s="164"/>
      <c r="I189" s="49"/>
      <c r="J189" s="49"/>
      <c r="K189" s="1"/>
      <c r="L189" s="1"/>
      <c r="M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44" t="s">
        <v>465</v>
      </c>
      <c r="C190" s="49">
        <v>30835.5</v>
      </c>
      <c r="D190" s="1"/>
      <c r="E190" s="164">
        <v>3854.44</v>
      </c>
      <c r="F190" s="164">
        <v>7708.88</v>
      </c>
      <c r="G190" s="164">
        <v>7708.88</v>
      </c>
      <c r="H190" s="164">
        <v>7708.88</v>
      </c>
      <c r="I190" s="49">
        <v>3854.44</v>
      </c>
      <c r="J190" s="132"/>
      <c r="K190" s="1"/>
      <c r="L190" s="1"/>
      <c r="M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44"/>
      <c r="C191" s="49"/>
      <c r="D191" s="1"/>
      <c r="E191" s="164">
        <v>0</v>
      </c>
      <c r="F191" s="164">
        <f>+C191/4</f>
        <v>0</v>
      </c>
      <c r="G191" s="164">
        <f>+C191/4</f>
        <v>0</v>
      </c>
      <c r="H191" s="164">
        <f>+C191/4</f>
        <v>0</v>
      </c>
      <c r="I191" s="132">
        <f>+C191/4</f>
        <v>0</v>
      </c>
      <c r="J191" s="132">
        <v>0</v>
      </c>
      <c r="K191" s="1"/>
      <c r="L191" s="1"/>
      <c r="M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8"/>
      <c r="C192" s="107">
        <f>C190+C191</f>
        <v>30835.5</v>
      </c>
      <c r="D192" s="1"/>
      <c r="E192" s="165">
        <f t="shared" ref="E192:J192" si="18">SUM(E189:E191)</f>
        <v>3854.44</v>
      </c>
      <c r="F192" s="165">
        <f t="shared" si="18"/>
        <v>7708.88</v>
      </c>
      <c r="G192" s="165">
        <f t="shared" si="18"/>
        <v>7708.88</v>
      </c>
      <c r="H192" s="165">
        <f t="shared" si="18"/>
        <v>7708.88</v>
      </c>
      <c r="I192" s="674">
        <f t="shared" si="18"/>
        <v>3854.44</v>
      </c>
      <c r="J192" s="107">
        <f t="shared" si="18"/>
        <v>0</v>
      </c>
      <c r="K192" s="89">
        <f>SUM(E192:J192)</f>
        <v>30835.52</v>
      </c>
      <c r="L192" s="1"/>
      <c r="M192" s="1"/>
      <c r="U192" s="1"/>
      <c r="V192" s="1"/>
      <c r="W192" s="1"/>
      <c r="X192" s="1"/>
      <c r="Y192" s="1"/>
    </row>
    <row r="193" spans="1:25" thickBo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U193" s="1"/>
      <c r="V193" s="1"/>
      <c r="W193" s="1"/>
      <c r="X193" s="1"/>
      <c r="Y193" s="1"/>
    </row>
    <row r="194" spans="1:25" ht="12.75" customHeight="1" thickBot="1" x14ac:dyDescent="0.25">
      <c r="A194" s="1"/>
      <c r="B194" s="1044" t="s">
        <v>579</v>
      </c>
      <c r="C194" s="1045"/>
      <c r="D194" s="1"/>
      <c r="E194" s="1046" t="s">
        <v>442</v>
      </c>
      <c r="F194" s="1047"/>
      <c r="G194" s="1047"/>
      <c r="H194" s="1047"/>
      <c r="I194" s="1047"/>
      <c r="J194" s="1045"/>
      <c r="K194" s="1"/>
      <c r="L194" s="1"/>
      <c r="M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01" t="s">
        <v>444</v>
      </c>
      <c r="C195" s="102">
        <f>C200</f>
        <v>61671</v>
      </c>
      <c r="D195" s="1"/>
      <c r="E195" s="159">
        <v>2019</v>
      </c>
      <c r="F195" s="159">
        <v>2020</v>
      </c>
      <c r="G195" s="159">
        <v>2021</v>
      </c>
      <c r="H195" s="159">
        <v>2022</v>
      </c>
      <c r="I195" s="101">
        <v>2023</v>
      </c>
      <c r="J195" s="101"/>
      <c r="K195" s="1"/>
      <c r="L195" s="1"/>
      <c r="M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8"/>
      <c r="C196" s="49"/>
      <c r="D196" s="1"/>
      <c r="E196" s="164"/>
      <c r="F196" s="164"/>
      <c r="G196" s="164"/>
      <c r="H196" s="164"/>
      <c r="I196" s="49"/>
      <c r="J196" s="134"/>
      <c r="K196" s="1"/>
      <c r="L196" s="1"/>
      <c r="M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8"/>
      <c r="C197" s="49"/>
      <c r="D197" s="1"/>
      <c r="E197" s="164"/>
      <c r="F197" s="164"/>
      <c r="G197" s="164"/>
      <c r="H197" s="164"/>
      <c r="I197" s="49"/>
      <c r="J197" s="49"/>
      <c r="K197" s="1"/>
      <c r="L197" s="1"/>
      <c r="M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44" t="s">
        <v>465</v>
      </c>
      <c r="C198" s="49">
        <v>61671</v>
      </c>
      <c r="D198" s="1"/>
      <c r="E198" s="164">
        <v>7708.88</v>
      </c>
      <c r="F198" s="164">
        <v>15417.75</v>
      </c>
      <c r="G198" s="164">
        <v>15417.75</v>
      </c>
      <c r="H198" s="164">
        <v>15417.75</v>
      </c>
      <c r="I198" s="49">
        <v>7708.88</v>
      </c>
      <c r="J198" s="132"/>
      <c r="K198" s="1"/>
      <c r="L198" s="1"/>
      <c r="M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44"/>
      <c r="C199" s="49"/>
      <c r="D199" s="1"/>
      <c r="E199" s="164">
        <v>0</v>
      </c>
      <c r="F199" s="164">
        <f>+C199/4</f>
        <v>0</v>
      </c>
      <c r="G199" s="164">
        <f>+C199/4</f>
        <v>0</v>
      </c>
      <c r="H199" s="164">
        <f>+C199/4</f>
        <v>0</v>
      </c>
      <c r="I199" s="132">
        <f>+C199/4</f>
        <v>0</v>
      </c>
      <c r="J199" s="132">
        <v>0</v>
      </c>
      <c r="K199" s="1"/>
      <c r="L199" s="1"/>
      <c r="M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8"/>
      <c r="C200" s="107">
        <f>C198+C199</f>
        <v>61671</v>
      </c>
      <c r="D200" s="1"/>
      <c r="E200" s="165">
        <f t="shared" ref="E200:J200" si="19">SUM(E197:E199)</f>
        <v>7708.88</v>
      </c>
      <c r="F200" s="165">
        <f t="shared" si="19"/>
        <v>15417.75</v>
      </c>
      <c r="G200" s="165">
        <f t="shared" si="19"/>
        <v>15417.75</v>
      </c>
      <c r="H200" s="165">
        <f t="shared" si="19"/>
        <v>15417.75</v>
      </c>
      <c r="I200" s="674">
        <f t="shared" si="19"/>
        <v>7708.88</v>
      </c>
      <c r="J200" s="107">
        <f t="shared" si="19"/>
        <v>0</v>
      </c>
      <c r="K200" s="89">
        <f>SUM(E200:J200)</f>
        <v>61671.01</v>
      </c>
      <c r="L200" s="5" t="s">
        <v>646</v>
      </c>
      <c r="M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U201" s="1"/>
      <c r="V201" s="1"/>
      <c r="W201" s="1"/>
      <c r="X201" s="1"/>
      <c r="Y201" s="1"/>
    </row>
    <row r="202" spans="1:25" ht="12.75" customHeight="1" thickBo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U202" s="1"/>
      <c r="V202" s="1"/>
      <c r="W202" s="1"/>
      <c r="X202" s="1"/>
      <c r="Y202" s="1"/>
    </row>
    <row r="203" spans="1:25" ht="12.75" customHeight="1" thickBot="1" x14ac:dyDescent="0.25">
      <c r="A203" s="1"/>
      <c r="B203" s="1044" t="s">
        <v>580</v>
      </c>
      <c r="C203" s="1045"/>
      <c r="D203" s="1"/>
      <c r="E203" s="1063" t="s">
        <v>442</v>
      </c>
      <c r="F203" s="1064"/>
      <c r="G203" s="1064"/>
      <c r="H203" s="1064"/>
      <c r="I203" s="1064"/>
      <c r="J203" s="1064"/>
      <c r="K203" s="1065"/>
      <c r="L203" s="1"/>
      <c r="M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01" t="s">
        <v>444</v>
      </c>
      <c r="C204" s="102">
        <f>C209</f>
        <v>16041.77</v>
      </c>
      <c r="D204" s="1"/>
      <c r="E204" s="159">
        <v>2019</v>
      </c>
      <c r="F204" s="159">
        <v>2020</v>
      </c>
      <c r="G204" s="159">
        <v>2021</v>
      </c>
      <c r="H204" s="159">
        <v>2022</v>
      </c>
      <c r="I204" s="101">
        <v>2023</v>
      </c>
      <c r="J204" s="101">
        <v>2024</v>
      </c>
      <c r="K204" s="101">
        <v>2025</v>
      </c>
      <c r="L204" s="1"/>
      <c r="M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8"/>
      <c r="C205" s="49"/>
      <c r="D205" s="1"/>
      <c r="E205" s="164"/>
      <c r="F205" s="164"/>
      <c r="G205" s="164"/>
      <c r="H205" s="164"/>
      <c r="I205" s="49"/>
      <c r="J205" s="134"/>
      <c r="K205" s="134"/>
      <c r="L205" s="1"/>
      <c r="M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8"/>
      <c r="C206" s="49"/>
      <c r="D206" s="1"/>
      <c r="E206" s="164"/>
      <c r="F206" s="164"/>
      <c r="G206" s="164"/>
      <c r="H206" s="164"/>
      <c r="I206" s="49"/>
      <c r="J206" s="49"/>
      <c r="K206" s="49"/>
      <c r="L206" s="1"/>
      <c r="M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44" t="s">
        <v>465</v>
      </c>
      <c r="C207" s="49">
        <v>12417.77</v>
      </c>
      <c r="D207" s="1"/>
      <c r="E207" s="164">
        <f>+C207*0.1</f>
        <v>1241.777</v>
      </c>
      <c r="F207" s="164">
        <f>+C207/5</f>
        <v>2483.5540000000001</v>
      </c>
      <c r="G207" s="164">
        <f>+C207/5</f>
        <v>2483.5540000000001</v>
      </c>
      <c r="H207" s="164">
        <f>+C207/5</f>
        <v>2483.5540000000001</v>
      </c>
      <c r="I207" s="132">
        <f>+C207/5</f>
        <v>2483.5540000000001</v>
      </c>
      <c r="J207" s="132">
        <f>+E207</f>
        <v>1241.777</v>
      </c>
      <c r="K207" s="132"/>
      <c r="L207" s="1"/>
      <c r="M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58" t="s">
        <v>533</v>
      </c>
      <c r="C208" s="49">
        <v>3624</v>
      </c>
      <c r="D208" s="1"/>
      <c r="E208" s="164">
        <v>0</v>
      </c>
      <c r="F208" s="164">
        <f>+C208*0.1</f>
        <v>362.40000000000003</v>
      </c>
      <c r="G208" s="164">
        <f>+C208*0.2</f>
        <v>724.80000000000007</v>
      </c>
      <c r="H208" s="164">
        <f>+C208*0.2</f>
        <v>724.80000000000007</v>
      </c>
      <c r="I208" s="132">
        <f>+C208*0.2</f>
        <v>724.80000000000007</v>
      </c>
      <c r="J208" s="132">
        <f>+C208*0.2</f>
        <v>724.80000000000007</v>
      </c>
      <c r="K208" s="132">
        <f>+C208*0.1</f>
        <v>362.40000000000003</v>
      </c>
      <c r="L208" s="1"/>
      <c r="M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8"/>
      <c r="C209" s="107">
        <f>C207+C208</f>
        <v>16041.77</v>
      </c>
      <c r="D209" s="1"/>
      <c r="E209" s="165">
        <f t="shared" ref="E209:K209" si="20">SUM(E206:E208)</f>
        <v>1241.777</v>
      </c>
      <c r="F209" s="165">
        <f t="shared" si="20"/>
        <v>2845.9540000000002</v>
      </c>
      <c r="G209" s="165">
        <f t="shared" si="20"/>
        <v>3208.3540000000003</v>
      </c>
      <c r="H209" s="165">
        <f t="shared" si="20"/>
        <v>3208.3540000000003</v>
      </c>
      <c r="I209" s="674">
        <f t="shared" si="20"/>
        <v>3208.3540000000003</v>
      </c>
      <c r="J209" s="107">
        <f t="shared" si="20"/>
        <v>1966.5770000000002</v>
      </c>
      <c r="K209" s="107">
        <f t="shared" si="20"/>
        <v>362.40000000000003</v>
      </c>
      <c r="L209" s="89">
        <f>SUM(E209:K209)</f>
        <v>16041.770000000002</v>
      </c>
      <c r="M209" s="5" t="s">
        <v>646</v>
      </c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U210" s="1"/>
      <c r="V210" s="1"/>
      <c r="W210" s="1"/>
      <c r="X210" s="1"/>
      <c r="Y210" s="1"/>
    </row>
    <row r="211" spans="1:25" ht="12.75" customHeight="1" thickBo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U211" s="1"/>
      <c r="V211" s="1"/>
      <c r="W211" s="1"/>
      <c r="X211" s="1"/>
      <c r="Y211" s="1"/>
    </row>
    <row r="212" spans="1:25" ht="12.75" customHeight="1" thickBot="1" x14ac:dyDescent="0.25">
      <c r="A212" s="1"/>
      <c r="B212" s="1044" t="s">
        <v>581</v>
      </c>
      <c r="C212" s="1045"/>
      <c r="D212" s="1"/>
      <c r="E212" s="1046" t="s">
        <v>442</v>
      </c>
      <c r="F212" s="1047"/>
      <c r="G212" s="1047"/>
      <c r="H212" s="1047"/>
      <c r="I212" s="1047"/>
      <c r="J212" s="1045"/>
      <c r="K212" s="1"/>
      <c r="L212" s="1"/>
      <c r="M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01" t="s">
        <v>444</v>
      </c>
      <c r="C213" s="102">
        <f>C218</f>
        <v>14640</v>
      </c>
      <c r="D213" s="1"/>
      <c r="E213" s="159">
        <v>2019</v>
      </c>
      <c r="F213" s="159">
        <v>2020</v>
      </c>
      <c r="G213" s="159">
        <v>2021</v>
      </c>
      <c r="H213" s="159">
        <v>2022</v>
      </c>
      <c r="I213" s="101">
        <v>2023</v>
      </c>
      <c r="J213" s="101">
        <v>2024</v>
      </c>
      <c r="K213" s="1"/>
      <c r="L213" s="1"/>
      <c r="M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8"/>
      <c r="C214" s="49"/>
      <c r="D214" s="1"/>
      <c r="E214" s="164"/>
      <c r="F214" s="164"/>
      <c r="G214" s="164"/>
      <c r="H214" s="164"/>
      <c r="I214" s="49"/>
      <c r="J214" s="134"/>
      <c r="K214" s="1"/>
      <c r="L214" s="1"/>
      <c r="M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8"/>
      <c r="C215" s="49"/>
      <c r="D215" s="1"/>
      <c r="E215" s="164"/>
      <c r="F215" s="164"/>
      <c r="G215" s="164"/>
      <c r="H215" s="164"/>
      <c r="I215" s="49"/>
      <c r="J215" s="49"/>
      <c r="K215" s="1"/>
      <c r="L215" s="1"/>
      <c r="M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44" t="s">
        <v>465</v>
      </c>
      <c r="C216" s="49">
        <v>14640</v>
      </c>
      <c r="D216" s="1"/>
      <c r="E216" s="164">
        <f>+C216*0.1</f>
        <v>1464</v>
      </c>
      <c r="F216" s="164">
        <f>+C216/5</f>
        <v>2928</v>
      </c>
      <c r="G216" s="164">
        <f>+C216/5</f>
        <v>2928</v>
      </c>
      <c r="H216" s="164">
        <f>+C216/5</f>
        <v>2928</v>
      </c>
      <c r="I216" s="132">
        <f>+C216/5</f>
        <v>2928</v>
      </c>
      <c r="J216" s="132">
        <f>+E216</f>
        <v>1464</v>
      </c>
      <c r="K216" s="1"/>
      <c r="L216" s="1"/>
      <c r="M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44"/>
      <c r="C217" s="49"/>
      <c r="D217" s="1"/>
      <c r="E217" s="164">
        <v>0</v>
      </c>
      <c r="F217" s="164">
        <f>+C217/4</f>
        <v>0</v>
      </c>
      <c r="G217" s="164">
        <f>+C217/4</f>
        <v>0</v>
      </c>
      <c r="H217" s="164">
        <f>+C217/4</f>
        <v>0</v>
      </c>
      <c r="I217" s="132">
        <f>+C217/4</f>
        <v>0</v>
      </c>
      <c r="J217" s="132">
        <v>0</v>
      </c>
      <c r="K217" s="1"/>
      <c r="L217" s="1"/>
      <c r="M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8"/>
      <c r="C218" s="107">
        <f>C216+C217</f>
        <v>14640</v>
      </c>
      <c r="D218" s="1"/>
      <c r="E218" s="165">
        <f t="shared" ref="E218:J218" si="21">SUM(E215:E217)</f>
        <v>1464</v>
      </c>
      <c r="F218" s="165">
        <f t="shared" si="21"/>
        <v>2928</v>
      </c>
      <c r="G218" s="165">
        <f t="shared" si="21"/>
        <v>2928</v>
      </c>
      <c r="H218" s="165">
        <f t="shared" si="21"/>
        <v>2928</v>
      </c>
      <c r="I218" s="674">
        <f t="shared" si="21"/>
        <v>2928</v>
      </c>
      <c r="J218" s="107">
        <f t="shared" si="21"/>
        <v>1464</v>
      </c>
      <c r="K218" s="89">
        <f>SUM(E218:J218)</f>
        <v>14640</v>
      </c>
      <c r="L218" s="5" t="s">
        <v>646</v>
      </c>
      <c r="M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U219" s="1"/>
      <c r="V219" s="1"/>
      <c r="W219" s="1"/>
      <c r="X219" s="1"/>
      <c r="Y219" s="1"/>
    </row>
    <row r="220" spans="1:25" ht="12.75" customHeight="1" thickBo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U220" s="1"/>
      <c r="V220" s="1"/>
      <c r="W220" s="1"/>
      <c r="X220" s="1"/>
      <c r="Y220" s="1"/>
    </row>
    <row r="221" spans="1:25" ht="12.75" customHeight="1" thickBot="1" x14ac:dyDescent="0.25">
      <c r="A221" s="1"/>
      <c r="B221" s="1044" t="s">
        <v>582</v>
      </c>
      <c r="C221" s="1045"/>
      <c r="D221" s="1"/>
      <c r="E221" s="1046" t="s">
        <v>442</v>
      </c>
      <c r="F221" s="1047"/>
      <c r="G221" s="1047"/>
      <c r="H221" s="1047"/>
      <c r="I221" s="1047"/>
      <c r="J221" s="1045"/>
      <c r="K221" s="1"/>
      <c r="L221" s="1"/>
      <c r="M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01" t="s">
        <v>444</v>
      </c>
      <c r="C222" s="102">
        <f>C227</f>
        <v>11585.6</v>
      </c>
      <c r="D222" s="1"/>
      <c r="E222" s="159">
        <v>2019</v>
      </c>
      <c r="F222" s="159">
        <v>2020</v>
      </c>
      <c r="G222" s="159">
        <v>2021</v>
      </c>
      <c r="H222" s="159">
        <v>2022</v>
      </c>
      <c r="I222" s="101">
        <v>2023</v>
      </c>
      <c r="J222" s="101">
        <v>2024</v>
      </c>
      <c r="K222" s="1"/>
      <c r="L222" s="1"/>
      <c r="M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8"/>
      <c r="C223" s="49"/>
      <c r="D223" s="1"/>
      <c r="E223" s="164"/>
      <c r="F223" s="164"/>
      <c r="G223" s="164"/>
      <c r="H223" s="164"/>
      <c r="I223" s="49"/>
      <c r="J223" s="134"/>
      <c r="K223" s="1"/>
      <c r="L223" s="1"/>
      <c r="M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8"/>
      <c r="C224" s="49"/>
      <c r="D224" s="1"/>
      <c r="E224" s="164"/>
      <c r="F224" s="164"/>
      <c r="G224" s="164"/>
      <c r="H224" s="164"/>
      <c r="I224" s="49"/>
      <c r="J224" s="49"/>
      <c r="K224" s="1"/>
      <c r="L224" s="1"/>
      <c r="M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44" t="s">
        <v>465</v>
      </c>
      <c r="C225" s="49">
        <v>11585.6</v>
      </c>
      <c r="D225" s="1"/>
      <c r="E225" s="164">
        <f>+C225*0.1</f>
        <v>1158.5600000000002</v>
      </c>
      <c r="F225" s="164">
        <f>+C225/5</f>
        <v>2317.12</v>
      </c>
      <c r="G225" s="164">
        <f>+C225/5</f>
        <v>2317.12</v>
      </c>
      <c r="H225" s="164">
        <f>+C225/5</f>
        <v>2317.12</v>
      </c>
      <c r="I225" s="132">
        <f>+C225/5</f>
        <v>2317.12</v>
      </c>
      <c r="J225" s="132">
        <f>+E225</f>
        <v>1158.5600000000002</v>
      </c>
      <c r="K225" s="1"/>
      <c r="L225" s="1"/>
      <c r="M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44"/>
      <c r="C226" s="49"/>
      <c r="D226" s="1"/>
      <c r="E226" s="164">
        <v>0</v>
      </c>
      <c r="F226" s="164">
        <f>+C226/4</f>
        <v>0</v>
      </c>
      <c r="G226" s="164">
        <f>+C226/4</f>
        <v>0</v>
      </c>
      <c r="H226" s="164">
        <f>+C226/4</f>
        <v>0</v>
      </c>
      <c r="I226" s="132">
        <f>+C226/4</f>
        <v>0</v>
      </c>
      <c r="J226" s="132">
        <v>0</v>
      </c>
      <c r="K226" s="1"/>
      <c r="L226" s="1"/>
      <c r="M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8"/>
      <c r="C227" s="107">
        <f>C225+C226</f>
        <v>11585.6</v>
      </c>
      <c r="D227" s="1"/>
      <c r="E227" s="165">
        <f t="shared" ref="E227:J227" si="22">SUM(E224:E226)</f>
        <v>1158.5600000000002</v>
      </c>
      <c r="F227" s="165">
        <f t="shared" si="22"/>
        <v>2317.12</v>
      </c>
      <c r="G227" s="165">
        <f t="shared" si="22"/>
        <v>2317.12</v>
      </c>
      <c r="H227" s="165">
        <f t="shared" si="22"/>
        <v>2317.12</v>
      </c>
      <c r="I227" s="674">
        <f t="shared" si="22"/>
        <v>2317.12</v>
      </c>
      <c r="J227" s="107">
        <f t="shared" si="22"/>
        <v>1158.5600000000002</v>
      </c>
      <c r="K227" s="89">
        <f>SUM(E227:J227)</f>
        <v>11585.6</v>
      </c>
      <c r="L227" s="5" t="s">
        <v>646</v>
      </c>
      <c r="M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U228" s="1"/>
      <c r="V228" s="1"/>
      <c r="W228" s="1"/>
      <c r="X228" s="1"/>
      <c r="Y228" s="1"/>
    </row>
    <row r="229" spans="1:25" ht="12.75" customHeight="1" thickBo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U229" s="1"/>
      <c r="V229" s="1"/>
      <c r="W229" s="1"/>
      <c r="X229" s="1"/>
      <c r="Y229" s="1"/>
    </row>
    <row r="230" spans="1:25" ht="12.75" customHeight="1" thickBot="1" x14ac:dyDescent="0.25">
      <c r="A230" s="1"/>
      <c r="B230" s="1044" t="s">
        <v>583</v>
      </c>
      <c r="C230" s="1045"/>
      <c r="D230" s="1"/>
      <c r="E230" s="1046" t="s">
        <v>442</v>
      </c>
      <c r="F230" s="1047"/>
      <c r="G230" s="1047"/>
      <c r="H230" s="1047"/>
      <c r="I230" s="1047"/>
      <c r="J230" s="1045"/>
      <c r="K230" s="1"/>
      <c r="L230" s="1"/>
      <c r="M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01" t="s">
        <v>444</v>
      </c>
      <c r="C231" s="102">
        <f>C236</f>
        <v>21313.4</v>
      </c>
      <c r="D231" s="1"/>
      <c r="E231" s="159">
        <v>2019</v>
      </c>
      <c r="F231" s="159">
        <v>2020</v>
      </c>
      <c r="G231" s="159">
        <v>2021</v>
      </c>
      <c r="H231" s="159">
        <v>2022</v>
      </c>
      <c r="I231" s="101">
        <v>2023</v>
      </c>
      <c r="J231" s="101">
        <v>2024</v>
      </c>
      <c r="K231" s="1"/>
      <c r="L231" s="1"/>
      <c r="M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8"/>
      <c r="C232" s="49"/>
      <c r="D232" s="1"/>
      <c r="E232" s="164"/>
      <c r="F232" s="164"/>
      <c r="G232" s="164"/>
      <c r="H232" s="164"/>
      <c r="I232" s="49"/>
      <c r="J232" s="134"/>
      <c r="K232" s="1"/>
      <c r="L232" s="1"/>
      <c r="M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8"/>
      <c r="C233" s="49"/>
      <c r="D233" s="1"/>
      <c r="E233" s="164"/>
      <c r="F233" s="164"/>
      <c r="G233" s="164"/>
      <c r="H233" s="164"/>
      <c r="I233" s="49"/>
      <c r="J233" s="49"/>
      <c r="K233" s="1"/>
      <c r="L233" s="1"/>
      <c r="M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44" t="s">
        <v>465</v>
      </c>
      <c r="C234" s="49">
        <v>21313.4</v>
      </c>
      <c r="D234" s="1"/>
      <c r="E234" s="164">
        <f>+C234*0.1</f>
        <v>2131.34</v>
      </c>
      <c r="F234" s="164">
        <f>+C234/5</f>
        <v>4262.68</v>
      </c>
      <c r="G234" s="164">
        <f>+C234/5</f>
        <v>4262.68</v>
      </c>
      <c r="H234" s="164">
        <f>+C234/5</f>
        <v>4262.68</v>
      </c>
      <c r="I234" s="132">
        <f>+C234/5</f>
        <v>4262.68</v>
      </c>
      <c r="J234" s="132">
        <f>+E234</f>
        <v>2131.34</v>
      </c>
      <c r="K234" s="1"/>
      <c r="L234" s="1"/>
      <c r="M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44"/>
      <c r="C235" s="49"/>
      <c r="D235" s="1"/>
      <c r="E235" s="164">
        <v>0</v>
      </c>
      <c r="F235" s="164">
        <f>+C235/4</f>
        <v>0</v>
      </c>
      <c r="G235" s="164">
        <f>+C235/4</f>
        <v>0</v>
      </c>
      <c r="H235" s="164">
        <f>+C235/4</f>
        <v>0</v>
      </c>
      <c r="I235" s="132">
        <f>+C235/4</f>
        <v>0</v>
      </c>
      <c r="J235" s="132">
        <v>0</v>
      </c>
      <c r="K235" s="1"/>
      <c r="L235" s="1"/>
      <c r="M235" s="1"/>
      <c r="U235" s="1"/>
      <c r="V235" s="1"/>
      <c r="W235" s="1"/>
      <c r="X235" s="1"/>
      <c r="Y235" s="1"/>
    </row>
    <row r="236" spans="1:25" ht="14" x14ac:dyDescent="0.2">
      <c r="A236" s="1"/>
      <c r="B236" s="8"/>
      <c r="C236" s="107">
        <f>C234+C235</f>
        <v>21313.4</v>
      </c>
      <c r="D236" s="1"/>
      <c r="E236" s="165">
        <f t="shared" ref="E236:J236" si="23">SUM(E233:E235)</f>
        <v>2131.34</v>
      </c>
      <c r="F236" s="165">
        <f t="shared" si="23"/>
        <v>4262.68</v>
      </c>
      <c r="G236" s="165">
        <f t="shared" si="23"/>
        <v>4262.68</v>
      </c>
      <c r="H236" s="165">
        <f t="shared" si="23"/>
        <v>4262.68</v>
      </c>
      <c r="I236" s="674">
        <f t="shared" si="23"/>
        <v>4262.68</v>
      </c>
      <c r="J236" s="107">
        <f t="shared" si="23"/>
        <v>2131.34</v>
      </c>
      <c r="K236" s="89">
        <f>SUM(E236:J236)</f>
        <v>21313.4</v>
      </c>
      <c r="L236" s="5" t="s">
        <v>646</v>
      </c>
      <c r="M236" s="1"/>
      <c r="U236" s="1"/>
      <c r="V236" s="1"/>
      <c r="W236" s="1"/>
      <c r="X236" s="1"/>
      <c r="Y236" s="1"/>
    </row>
    <row r="237" spans="1:25" ht="1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U237" s="1"/>
      <c r="V237" s="1"/>
      <c r="W237" s="1"/>
      <c r="X237" s="1"/>
      <c r="Y237" s="1"/>
    </row>
    <row r="238" spans="1:25" ht="12.75" customHeight="1" thickBo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U238" s="1"/>
      <c r="V238" s="1"/>
      <c r="W238" s="1"/>
      <c r="X238" s="1"/>
      <c r="Y238" s="1"/>
    </row>
    <row r="239" spans="1:25" ht="12.75" customHeight="1" thickBot="1" x14ac:dyDescent="0.25">
      <c r="A239" s="1"/>
      <c r="B239" s="1044" t="s">
        <v>584</v>
      </c>
      <c r="C239" s="1045"/>
      <c r="D239" s="1"/>
      <c r="E239" s="1046" t="s">
        <v>442</v>
      </c>
      <c r="F239" s="1047"/>
      <c r="G239" s="1047"/>
      <c r="H239" s="1047"/>
      <c r="I239" s="1047"/>
      <c r="J239" s="1045"/>
      <c r="K239" s="1"/>
      <c r="L239" s="1"/>
      <c r="M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01" t="s">
        <v>444</v>
      </c>
      <c r="C240" s="102">
        <f>+C247</f>
        <v>80061.26999999999</v>
      </c>
      <c r="D240" s="1"/>
      <c r="E240" s="159">
        <v>2020</v>
      </c>
      <c r="F240" s="159">
        <v>2021</v>
      </c>
      <c r="G240" s="159">
        <v>2022</v>
      </c>
      <c r="H240" s="101">
        <v>2023</v>
      </c>
      <c r="I240" s="101">
        <v>2024</v>
      </c>
      <c r="J240" s="101">
        <v>2025</v>
      </c>
      <c r="K240" s="1"/>
      <c r="L240" s="1"/>
      <c r="M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8"/>
      <c r="C241" s="49"/>
      <c r="D241" s="1"/>
      <c r="E241" s="164"/>
      <c r="F241" s="164"/>
      <c r="G241" s="164"/>
      <c r="H241" s="49"/>
      <c r="I241" s="49"/>
      <c r="J241" s="134"/>
      <c r="K241" s="1"/>
      <c r="L241" s="1"/>
      <c r="M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8"/>
      <c r="C242" s="49"/>
      <c r="D242" s="1"/>
      <c r="E242" s="164"/>
      <c r="F242" s="164"/>
      <c r="G242" s="164"/>
      <c r="H242" s="49"/>
      <c r="I242" s="49"/>
      <c r="J242" s="49"/>
      <c r="K242" s="1"/>
      <c r="L242" s="1"/>
      <c r="M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58" t="s">
        <v>533</v>
      </c>
      <c r="C243" s="49"/>
      <c r="D243" s="1"/>
      <c r="E243" s="164"/>
      <c r="F243" s="164"/>
      <c r="G243" s="164"/>
      <c r="H243" s="49"/>
      <c r="I243" s="132"/>
      <c r="J243" s="132"/>
      <c r="K243" s="1"/>
      <c r="L243" s="1"/>
      <c r="M243" s="173"/>
      <c r="U243" s="1"/>
      <c r="V243" s="1"/>
      <c r="W243" s="1"/>
      <c r="X243" s="1"/>
      <c r="Y243" s="1"/>
    </row>
    <row r="244" spans="1:25" ht="12.75" customHeight="1" x14ac:dyDescent="0.2">
      <c r="A244" s="1"/>
      <c r="B244" s="58" t="s">
        <v>536</v>
      </c>
      <c r="C244" s="49">
        <v>16585.900000000001</v>
      </c>
      <c r="D244" s="1"/>
      <c r="E244" s="164">
        <f>+C244*0.1</f>
        <v>1658.5900000000001</v>
      </c>
      <c r="F244" s="164">
        <f>+C244*0.2</f>
        <v>3317.1800000000003</v>
      </c>
      <c r="G244" s="164">
        <f>+C244*0.2</f>
        <v>3317.1800000000003</v>
      </c>
      <c r="H244" s="49">
        <f>+C244*0.2</f>
        <v>3317.1800000000003</v>
      </c>
      <c r="I244" s="132">
        <f>+C244*0.2</f>
        <v>3317.1800000000003</v>
      </c>
      <c r="J244" s="132">
        <f>+C244*0.1</f>
        <v>1658.5900000000001</v>
      </c>
      <c r="K244" s="1"/>
      <c r="L244" s="1"/>
      <c r="M244" s="173"/>
      <c r="U244" s="1"/>
      <c r="V244" s="1"/>
      <c r="W244" s="1"/>
      <c r="X244" s="1"/>
      <c r="Y244" s="1"/>
    </row>
    <row r="245" spans="1:25" ht="12.75" customHeight="1" x14ac:dyDescent="0.2">
      <c r="A245" s="1"/>
      <c r="B245" s="58" t="s">
        <v>537</v>
      </c>
      <c r="C245" s="49">
        <v>51283.91</v>
      </c>
      <c r="D245" s="1"/>
      <c r="E245" s="164">
        <f>+C245*0.125</f>
        <v>6410.4887500000004</v>
      </c>
      <c r="F245" s="164">
        <f>+C245*0.25</f>
        <v>12820.977500000001</v>
      </c>
      <c r="G245" s="164">
        <f>+C245*0.25</f>
        <v>12820.977500000001</v>
      </c>
      <c r="H245" s="49">
        <f>+C245*0.25</f>
        <v>12820.977500000001</v>
      </c>
      <c r="I245" s="132">
        <f>+C245*0.125</f>
        <v>6410.4887500000004</v>
      </c>
      <c r="J245" s="132"/>
      <c r="K245" s="1"/>
      <c r="L245" s="1"/>
      <c r="M245" s="239"/>
      <c r="U245" s="1"/>
      <c r="V245" s="1"/>
      <c r="W245" s="1"/>
      <c r="X245" s="1"/>
      <c r="Y245" s="1"/>
    </row>
    <row r="246" spans="1:25" ht="12.75" customHeight="1" x14ac:dyDescent="0.2">
      <c r="A246" s="1"/>
      <c r="B246" s="58" t="s">
        <v>475</v>
      </c>
      <c r="C246" s="49">
        <v>12191.46</v>
      </c>
      <c r="D246" s="1"/>
      <c r="E246" s="164">
        <f>+C246*0.3333333</f>
        <v>4063.8195936179995</v>
      </c>
      <c r="F246" s="164">
        <f>+C246*0.333333</f>
        <v>4063.8159361799994</v>
      </c>
      <c r="G246" s="164">
        <f>+C246*0.3333333</f>
        <v>4063.8195936179995</v>
      </c>
      <c r="H246" s="49"/>
      <c r="I246" s="132"/>
      <c r="J246" s="132"/>
      <c r="K246" s="1"/>
      <c r="L246" s="1"/>
      <c r="M246" s="239"/>
      <c r="U246" s="1"/>
      <c r="V246" s="1"/>
      <c r="W246" s="1"/>
      <c r="X246" s="1"/>
      <c r="Y246" s="1"/>
    </row>
    <row r="247" spans="1:25" ht="73" x14ac:dyDescent="0.2">
      <c r="A247" s="1"/>
      <c r="B247" s="8"/>
      <c r="C247" s="107">
        <f>SUM(C244:C246)</f>
        <v>80061.26999999999</v>
      </c>
      <c r="D247" s="1"/>
      <c r="E247" s="165">
        <f t="shared" ref="E247:J247" si="24">SUM(E244:E246)</f>
        <v>12132.898343618001</v>
      </c>
      <c r="F247" s="165">
        <f>SUM(F244:F246)</f>
        <v>20201.97343618</v>
      </c>
      <c r="G247" s="165">
        <f t="shared" si="24"/>
        <v>20201.977093617999</v>
      </c>
      <c r="H247" s="674">
        <f t="shared" si="24"/>
        <v>16138.157500000001</v>
      </c>
      <c r="I247" s="107">
        <f t="shared" si="24"/>
        <v>9727.6687500000007</v>
      </c>
      <c r="J247" s="107">
        <f t="shared" si="24"/>
        <v>1658.5900000000001</v>
      </c>
      <c r="K247" s="89">
        <f>SUM(E247:J247)</f>
        <v>80061.265123415986</v>
      </c>
      <c r="L247" s="1"/>
      <c r="M247" s="239"/>
      <c r="N247" s="348" t="s">
        <v>286</v>
      </c>
      <c r="O247" s="348" t="s">
        <v>287</v>
      </c>
      <c r="P247" s="348" t="s">
        <v>288</v>
      </c>
      <c r="Q247" s="348" t="s">
        <v>479</v>
      </c>
      <c r="R247" s="348" t="s">
        <v>290</v>
      </c>
      <c r="S247" s="348" t="s">
        <v>304</v>
      </c>
      <c r="T247" s="349" t="s">
        <v>170</v>
      </c>
      <c r="U247" s="1"/>
      <c r="V247" s="1"/>
      <c r="W247" s="1"/>
      <c r="X247" s="1"/>
      <c r="Y247" s="1"/>
    </row>
    <row r="248" spans="1:25" ht="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39"/>
      <c r="N248" s="278" t="s">
        <v>51</v>
      </c>
      <c r="O248" s="278">
        <v>2014</v>
      </c>
      <c r="P248" s="280">
        <v>258253</v>
      </c>
      <c r="Q248" s="280">
        <v>257725</v>
      </c>
      <c r="R248" s="280">
        <v>528</v>
      </c>
      <c r="S248" s="280">
        <f>P248-Q248-R248</f>
        <v>0</v>
      </c>
      <c r="T248" s="325" t="s">
        <v>117</v>
      </c>
      <c r="U248" s="1"/>
      <c r="V248" s="1"/>
      <c r="W248" s="1"/>
      <c r="X248" s="1"/>
      <c r="Y248" s="1"/>
    </row>
    <row r="249" spans="1:25" ht="12.75" customHeight="1" thickBo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39"/>
      <c r="N249" s="278" t="s">
        <v>307</v>
      </c>
      <c r="O249" s="278">
        <v>2017</v>
      </c>
      <c r="P249" s="280">
        <v>159897</v>
      </c>
      <c r="Q249" s="280">
        <v>104670</v>
      </c>
      <c r="R249" s="280">
        <v>31979</v>
      </c>
      <c r="S249" s="280">
        <f>P249-Q249-R249</f>
        <v>23248</v>
      </c>
      <c r="T249" s="325" t="s">
        <v>137</v>
      </c>
      <c r="U249" s="1"/>
      <c r="V249" s="1"/>
      <c r="W249" s="1"/>
      <c r="X249" s="1"/>
      <c r="Y249" s="1"/>
    </row>
    <row r="250" spans="1:25" ht="12.75" customHeight="1" thickBot="1" x14ac:dyDescent="0.25">
      <c r="A250" s="1"/>
      <c r="B250" s="1040" t="s">
        <v>585</v>
      </c>
      <c r="C250" s="1041"/>
      <c r="D250" s="1"/>
      <c r="E250" s="1049" t="s">
        <v>442</v>
      </c>
      <c r="F250" s="1050"/>
      <c r="G250" s="1050"/>
      <c r="H250" s="1050"/>
      <c r="I250" s="1050"/>
      <c r="J250" s="1050"/>
      <c r="K250" s="1050"/>
      <c r="L250" s="1051"/>
      <c r="M250" s="239"/>
      <c r="N250" s="278" t="s">
        <v>49</v>
      </c>
      <c r="O250" s="278">
        <v>2018</v>
      </c>
      <c r="P250" s="280">
        <v>78567</v>
      </c>
      <c r="Q250" s="280">
        <v>48145</v>
      </c>
      <c r="R250" s="280">
        <v>15713</v>
      </c>
      <c r="S250" s="280">
        <f>P250-Q250-R250</f>
        <v>14709</v>
      </c>
      <c r="T250" s="325" t="s">
        <v>134</v>
      </c>
      <c r="U250" s="1"/>
      <c r="V250" s="1"/>
      <c r="W250" s="1"/>
      <c r="X250" s="1"/>
      <c r="Y250" s="1"/>
    </row>
    <row r="251" spans="1:25" ht="12.75" customHeight="1" x14ac:dyDescent="0.2">
      <c r="A251" s="1"/>
      <c r="B251" s="101" t="s">
        <v>444</v>
      </c>
      <c r="C251" s="102">
        <f>+C259</f>
        <v>83391.39</v>
      </c>
      <c r="D251" s="1"/>
      <c r="E251" s="159">
        <v>2020</v>
      </c>
      <c r="F251" s="159">
        <v>2021</v>
      </c>
      <c r="G251" s="159">
        <v>2022</v>
      </c>
      <c r="H251" s="101">
        <v>2023</v>
      </c>
      <c r="I251" s="101">
        <v>2024</v>
      </c>
      <c r="J251" s="101">
        <v>2025</v>
      </c>
      <c r="K251" s="101">
        <v>2026</v>
      </c>
      <c r="L251" s="101">
        <v>2027</v>
      </c>
      <c r="M251" s="239"/>
      <c r="N251" s="278" t="s">
        <v>480</v>
      </c>
      <c r="O251" s="278">
        <v>2018</v>
      </c>
      <c r="P251" s="280">
        <v>257745</v>
      </c>
      <c r="Q251" s="280">
        <v>159492</v>
      </c>
      <c r="R251" s="280">
        <v>51854</v>
      </c>
      <c r="S251" s="280">
        <f t="shared" ref="S251:S279" si="25">P251-Q251-R251</f>
        <v>46399</v>
      </c>
      <c r="T251" s="325" t="s">
        <v>129</v>
      </c>
      <c r="U251" s="1"/>
      <c r="V251" s="1"/>
      <c r="W251" s="1"/>
      <c r="X251" s="1"/>
      <c r="Y251" s="1"/>
    </row>
    <row r="252" spans="1:25" ht="12.75" customHeight="1" x14ac:dyDescent="0.2">
      <c r="A252" s="1"/>
      <c r="B252" s="8"/>
      <c r="C252" s="49"/>
      <c r="D252" s="1"/>
      <c r="E252" s="164"/>
      <c r="F252" s="164"/>
      <c r="G252" s="164"/>
      <c r="H252" s="49"/>
      <c r="I252" s="49"/>
      <c r="J252" s="134"/>
      <c r="K252" s="134"/>
      <c r="L252" s="134"/>
      <c r="M252" s="239"/>
      <c r="N252" s="278" t="s">
        <v>60</v>
      </c>
      <c r="O252" s="326">
        <v>2017</v>
      </c>
      <c r="P252" s="280">
        <v>11700</v>
      </c>
      <c r="Q252" s="280">
        <v>10530</v>
      </c>
      <c r="R252" s="280">
        <v>1170</v>
      </c>
      <c r="S252" s="280">
        <f t="shared" si="25"/>
        <v>0</v>
      </c>
      <c r="T252" s="325" t="s">
        <v>118</v>
      </c>
      <c r="U252" s="1"/>
      <c r="V252" s="1"/>
      <c r="W252" s="1"/>
      <c r="X252" s="1"/>
      <c r="Y252" s="1"/>
    </row>
    <row r="253" spans="1:25" ht="14" x14ac:dyDescent="0.2">
      <c r="A253" s="1"/>
      <c r="B253" s="8"/>
      <c r="C253" s="49"/>
      <c r="D253" s="1"/>
      <c r="E253" s="164"/>
      <c r="F253" s="164"/>
      <c r="G253" s="164"/>
      <c r="H253" s="49"/>
      <c r="I253" s="49"/>
      <c r="J253" s="49"/>
      <c r="K253" s="49"/>
      <c r="L253" s="49"/>
      <c r="M253" s="239"/>
      <c r="N253" s="278" t="s">
        <v>61</v>
      </c>
      <c r="O253" s="326">
        <v>2017</v>
      </c>
      <c r="P253" s="280">
        <v>17494</v>
      </c>
      <c r="Q253" s="280">
        <v>15745</v>
      </c>
      <c r="R253" s="280">
        <v>1749</v>
      </c>
      <c r="S253" s="280">
        <f t="shared" si="25"/>
        <v>0</v>
      </c>
      <c r="T253" s="325" t="s">
        <v>121</v>
      </c>
      <c r="U253" s="1"/>
      <c r="V253" s="1"/>
      <c r="W253" s="1"/>
      <c r="X253" s="1"/>
      <c r="Y253" s="1"/>
    </row>
    <row r="254" spans="1:25" ht="12.75" customHeight="1" x14ac:dyDescent="0.2">
      <c r="A254" s="1"/>
      <c r="B254" s="58" t="s">
        <v>533</v>
      </c>
      <c r="C254" s="49"/>
      <c r="D254" s="1"/>
      <c r="E254" s="164"/>
      <c r="F254" s="164"/>
      <c r="G254" s="164"/>
      <c r="H254" s="49"/>
      <c r="I254" s="132"/>
      <c r="J254" s="132"/>
      <c r="K254" s="132"/>
      <c r="L254" s="132"/>
      <c r="M254" s="239"/>
      <c r="N254" s="278" t="s">
        <v>473</v>
      </c>
      <c r="O254" s="278">
        <v>2017</v>
      </c>
      <c r="P254" s="280">
        <v>5266</v>
      </c>
      <c r="Q254" s="280">
        <v>4739</v>
      </c>
      <c r="R254" s="280">
        <v>527</v>
      </c>
      <c r="S254" s="280">
        <f t="shared" si="25"/>
        <v>0</v>
      </c>
      <c r="T254" s="325" t="s">
        <v>124</v>
      </c>
      <c r="U254" s="1"/>
      <c r="V254" s="1"/>
      <c r="W254" s="1"/>
      <c r="X254" s="1"/>
      <c r="Y254" s="1"/>
    </row>
    <row r="255" spans="1:25" ht="12.75" customHeight="1" x14ac:dyDescent="0.2">
      <c r="A255" s="1"/>
      <c r="B255" s="58" t="s">
        <v>537</v>
      </c>
      <c r="C255" s="49">
        <v>47157.39</v>
      </c>
      <c r="D255" s="1"/>
      <c r="E255" s="164">
        <f>+C255*0.125</f>
        <v>5894.6737499999999</v>
      </c>
      <c r="F255" s="164">
        <f>+C255*0.25</f>
        <v>11789.3475</v>
      </c>
      <c r="G255" s="164">
        <f>+C255*0.25</f>
        <v>11789.3475</v>
      </c>
      <c r="H255" s="49">
        <f>+C255*0.25</f>
        <v>11789.3475</v>
      </c>
      <c r="I255" s="132">
        <f>+C255*0.125</f>
        <v>5894.6737499999999</v>
      </c>
      <c r="J255" s="132"/>
      <c r="K255" s="132"/>
      <c r="L255" s="132"/>
      <c r="M255" s="173"/>
      <c r="N255" s="278" t="s">
        <v>292</v>
      </c>
      <c r="O255" s="278">
        <v>2017</v>
      </c>
      <c r="P255" s="280">
        <v>20118</v>
      </c>
      <c r="Q255" s="280">
        <v>14951</v>
      </c>
      <c r="R255" s="280">
        <v>3589</v>
      </c>
      <c r="S255" s="280">
        <f t="shared" si="25"/>
        <v>1578</v>
      </c>
      <c r="T255" s="325" t="s">
        <v>481</v>
      </c>
      <c r="U255" s="1"/>
      <c r="V255" s="1"/>
      <c r="W255" s="1"/>
      <c r="X255" s="1"/>
      <c r="Y255" s="1"/>
    </row>
    <row r="256" spans="1:25" ht="12.75" customHeight="1" x14ac:dyDescent="0.2">
      <c r="A256" s="1"/>
      <c r="B256" s="482"/>
      <c r="C256" s="174">
        <f>SUM(C255:C255)</f>
        <v>47157.39</v>
      </c>
      <c r="D256" s="173"/>
      <c r="E256" s="483">
        <f t="shared" ref="E256:J256" si="26">SUM(E255:E255)</f>
        <v>5894.6737499999999</v>
      </c>
      <c r="F256" s="483">
        <f t="shared" si="26"/>
        <v>11789.3475</v>
      </c>
      <c r="G256" s="483">
        <f t="shared" si="26"/>
        <v>11789.3475</v>
      </c>
      <c r="H256" s="174">
        <f t="shared" si="26"/>
        <v>11789.3475</v>
      </c>
      <c r="I256" s="174">
        <f t="shared" si="26"/>
        <v>5894.6737499999999</v>
      </c>
      <c r="J256" s="174">
        <f t="shared" si="26"/>
        <v>0</v>
      </c>
      <c r="K256" s="174"/>
      <c r="L256" s="174"/>
      <c r="M256" s="1"/>
      <c r="N256" s="278" t="s">
        <v>64</v>
      </c>
      <c r="O256" s="278">
        <v>2017</v>
      </c>
      <c r="P256" s="280">
        <v>10443</v>
      </c>
      <c r="Q256" s="280">
        <v>9399</v>
      </c>
      <c r="R256" s="280">
        <v>1044</v>
      </c>
      <c r="S256" s="280">
        <f t="shared" si="25"/>
        <v>0</v>
      </c>
      <c r="T256" s="325" t="s">
        <v>118</v>
      </c>
      <c r="U256" s="1"/>
      <c r="V256" s="1"/>
      <c r="W256" s="1"/>
      <c r="X256" s="1"/>
      <c r="Y256" s="1"/>
    </row>
    <row r="257" spans="1:25" ht="12.75" customHeight="1" x14ac:dyDescent="0.2">
      <c r="A257" s="1"/>
      <c r="B257" s="486" t="s">
        <v>863</v>
      </c>
      <c r="C257" s="484"/>
      <c r="D257" s="175"/>
      <c r="E257" s="485"/>
      <c r="F257" s="485"/>
      <c r="G257" s="485"/>
      <c r="H257" s="484"/>
      <c r="I257" s="484"/>
      <c r="J257" s="484"/>
      <c r="K257" s="464"/>
      <c r="L257" s="464"/>
      <c r="M257" s="1"/>
      <c r="N257" s="278" t="s">
        <v>63</v>
      </c>
      <c r="O257" s="278">
        <v>2017</v>
      </c>
      <c r="P257" s="280">
        <v>36836</v>
      </c>
      <c r="Q257" s="280">
        <v>34598</v>
      </c>
      <c r="R257" s="280">
        <v>2238</v>
      </c>
      <c r="S257" s="280">
        <f t="shared" si="25"/>
        <v>0</v>
      </c>
      <c r="T257" s="325" t="s">
        <v>128</v>
      </c>
      <c r="U257" s="1"/>
      <c r="V257" s="1"/>
      <c r="W257" s="1"/>
      <c r="X257" s="1"/>
      <c r="Y257" s="1"/>
    </row>
    <row r="258" spans="1:25" ht="12.75" customHeight="1" x14ac:dyDescent="0.2">
      <c r="A258" s="1"/>
      <c r="B258" s="345" t="s">
        <v>864</v>
      </c>
      <c r="C258" s="484">
        <v>36234</v>
      </c>
      <c r="D258" s="175"/>
      <c r="E258" s="485"/>
      <c r="F258" s="485"/>
      <c r="G258" s="485">
        <f>+C258*0.1</f>
        <v>3623.4</v>
      </c>
      <c r="H258" s="484">
        <f>+C258*0.2</f>
        <v>7246.8</v>
      </c>
      <c r="I258" s="484">
        <f>+C258*0.2</f>
        <v>7246.8</v>
      </c>
      <c r="J258" s="484">
        <f>+C258*0.2</f>
        <v>7246.8</v>
      </c>
      <c r="K258" s="177">
        <f>+C258*0.2</f>
        <v>7246.8</v>
      </c>
      <c r="L258" s="177">
        <f>+C258*0.1</f>
        <v>3623.4</v>
      </c>
      <c r="M258" s="1"/>
      <c r="N258" s="278" t="s">
        <v>55</v>
      </c>
      <c r="O258" s="278">
        <v>2018</v>
      </c>
      <c r="P258" s="280">
        <v>33218</v>
      </c>
      <c r="Q258" s="280">
        <v>23253</v>
      </c>
      <c r="R258" s="280">
        <v>6644</v>
      </c>
      <c r="S258" s="280">
        <f t="shared" si="25"/>
        <v>3321</v>
      </c>
      <c r="T258" s="327" t="s">
        <v>482</v>
      </c>
      <c r="U258" s="1"/>
      <c r="V258" s="1"/>
      <c r="W258" s="1"/>
      <c r="X258" s="1"/>
      <c r="Y258" s="1"/>
    </row>
    <row r="259" spans="1:25" ht="12.75" customHeight="1" x14ac:dyDescent="0.2">
      <c r="A259" s="1"/>
      <c r="B259" s="345" t="s">
        <v>155</v>
      </c>
      <c r="C259" s="507">
        <f>+C258+C256</f>
        <v>83391.39</v>
      </c>
      <c r="D259" s="175"/>
      <c r="E259" s="175"/>
      <c r="F259" s="304"/>
      <c r="G259" s="485">
        <f>+G256+G258</f>
        <v>15412.747499999999</v>
      </c>
      <c r="H259" s="676">
        <f t="shared" ref="H259:L259" si="27">+H256+H258</f>
        <v>19036.147499999999</v>
      </c>
      <c r="I259" s="484">
        <f t="shared" si="27"/>
        <v>13141.473750000001</v>
      </c>
      <c r="J259" s="484">
        <f t="shared" si="27"/>
        <v>7246.8</v>
      </c>
      <c r="K259" s="484">
        <f t="shared" si="27"/>
        <v>7246.8</v>
      </c>
      <c r="L259" s="484">
        <f t="shared" si="27"/>
        <v>3623.4</v>
      </c>
      <c r="M259" s="1"/>
      <c r="N259" s="278" t="s">
        <v>54</v>
      </c>
      <c r="O259" s="278">
        <v>2018</v>
      </c>
      <c r="P259" s="280">
        <v>64991</v>
      </c>
      <c r="Q259" s="280">
        <v>45494</v>
      </c>
      <c r="R259" s="280">
        <f>F128</f>
        <v>12998.2</v>
      </c>
      <c r="S259" s="280">
        <f t="shared" si="25"/>
        <v>6498.7999999999993</v>
      </c>
      <c r="T259" s="325" t="s">
        <v>125</v>
      </c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78" t="s">
        <v>293</v>
      </c>
      <c r="O260" s="278">
        <v>2018</v>
      </c>
      <c r="P260" s="280">
        <f>56608+253</f>
        <v>56861</v>
      </c>
      <c r="Q260" s="280">
        <v>33641</v>
      </c>
      <c r="R260" s="280">
        <v>11322</v>
      </c>
      <c r="S260" s="280">
        <f t="shared" si="25"/>
        <v>11898</v>
      </c>
      <c r="T260" s="325" t="s">
        <v>139</v>
      </c>
      <c r="U260" s="1"/>
      <c r="V260" s="1"/>
      <c r="W260" s="1"/>
      <c r="X260" s="1"/>
      <c r="Y260" s="1"/>
    </row>
    <row r="261" spans="1:25" ht="12.75" customHeight="1" thickBo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78" t="s">
        <v>53</v>
      </c>
      <c r="O261" s="278">
        <v>2018</v>
      </c>
      <c r="P261" s="280">
        <v>63836</v>
      </c>
      <c r="Q261" s="280">
        <v>47797</v>
      </c>
      <c r="R261" s="280">
        <v>12767</v>
      </c>
      <c r="S261" s="280">
        <f t="shared" si="25"/>
        <v>3272</v>
      </c>
      <c r="T261" s="325" t="s">
        <v>123</v>
      </c>
      <c r="U261" s="1"/>
      <c r="V261" s="1"/>
      <c r="W261" s="1"/>
      <c r="X261" s="1"/>
      <c r="Y261" s="1"/>
    </row>
    <row r="262" spans="1:25" ht="12.75" customHeight="1" thickBot="1" x14ac:dyDescent="0.25">
      <c r="A262" s="1"/>
      <c r="B262" s="1040" t="s">
        <v>586</v>
      </c>
      <c r="C262" s="1041"/>
      <c r="D262" s="1"/>
      <c r="E262" s="1049" t="s">
        <v>442</v>
      </c>
      <c r="F262" s="1050"/>
      <c r="G262" s="1050"/>
      <c r="H262" s="1050"/>
      <c r="I262" s="1050"/>
      <c r="J262" s="1050"/>
      <c r="K262" s="1051"/>
      <c r="L262" s="1"/>
      <c r="M262" s="1"/>
      <c r="N262" s="278" t="s">
        <v>52</v>
      </c>
      <c r="O262" s="278">
        <v>2018</v>
      </c>
      <c r="P262" s="280">
        <v>20000</v>
      </c>
      <c r="Q262" s="280">
        <v>14000</v>
      </c>
      <c r="R262" s="280">
        <v>4000</v>
      </c>
      <c r="S262" s="280">
        <f t="shared" si="25"/>
        <v>2000</v>
      </c>
      <c r="T262" s="325" t="s">
        <v>119</v>
      </c>
      <c r="U262" s="1"/>
      <c r="V262" s="1"/>
      <c r="W262" s="1"/>
      <c r="X262" s="1"/>
      <c r="Y262" s="1"/>
    </row>
    <row r="263" spans="1:25" ht="12.75" customHeight="1" x14ac:dyDescent="0.2">
      <c r="A263" s="1"/>
      <c r="B263" s="101" t="s">
        <v>444</v>
      </c>
      <c r="C263" s="102">
        <f>+C270</f>
        <v>104989.54000000001</v>
      </c>
      <c r="D263" s="1"/>
      <c r="E263" s="159">
        <v>2020</v>
      </c>
      <c r="F263" s="159">
        <v>2021</v>
      </c>
      <c r="G263" s="159">
        <v>2022</v>
      </c>
      <c r="H263" s="101">
        <v>2023</v>
      </c>
      <c r="I263" s="101">
        <v>2024</v>
      </c>
      <c r="J263" s="133">
        <v>2025</v>
      </c>
      <c r="K263" s="286">
        <v>2026</v>
      </c>
      <c r="L263" s="1"/>
      <c r="M263" s="1"/>
      <c r="N263" s="278" t="s">
        <v>66</v>
      </c>
      <c r="O263" s="278">
        <v>2019</v>
      </c>
      <c r="P263" s="280">
        <v>606410</v>
      </c>
      <c r="Q263" s="280">
        <v>285732</v>
      </c>
      <c r="R263" s="280">
        <v>126513</v>
      </c>
      <c r="S263" s="280">
        <f t="shared" si="25"/>
        <v>194165</v>
      </c>
      <c r="T263" s="327" t="s">
        <v>483</v>
      </c>
      <c r="U263" s="1"/>
      <c r="V263" s="1"/>
      <c r="W263" s="1"/>
      <c r="X263" s="1"/>
      <c r="Y263" s="1"/>
    </row>
    <row r="264" spans="1:25" ht="12.75" customHeight="1" x14ac:dyDescent="0.2">
      <c r="A264" s="1"/>
      <c r="B264" s="8"/>
      <c r="C264" s="49"/>
      <c r="D264" s="1"/>
      <c r="E264" s="164"/>
      <c r="F264" s="164"/>
      <c r="G264" s="164"/>
      <c r="H264" s="49"/>
      <c r="I264" s="49"/>
      <c r="J264" s="283"/>
      <c r="K264" s="175"/>
      <c r="L264" s="1"/>
      <c r="M264" s="1"/>
      <c r="N264" s="278" t="s">
        <v>67</v>
      </c>
      <c r="O264" s="278">
        <v>2019</v>
      </c>
      <c r="P264" s="280">
        <v>39376</v>
      </c>
      <c r="Q264" s="280">
        <v>23542</v>
      </c>
      <c r="R264" s="280">
        <v>9416</v>
      </c>
      <c r="S264" s="280">
        <f t="shared" si="25"/>
        <v>6418</v>
      </c>
      <c r="T264" s="327" t="s">
        <v>125</v>
      </c>
      <c r="U264" s="1"/>
      <c r="V264" s="1"/>
      <c r="W264" s="1"/>
      <c r="X264" s="1"/>
      <c r="Y264" s="1"/>
    </row>
    <row r="265" spans="1:25" ht="12.75" customHeight="1" x14ac:dyDescent="0.2">
      <c r="A265" s="1"/>
      <c r="B265" s="8"/>
      <c r="C265" s="49"/>
      <c r="D265" s="1"/>
      <c r="E265" s="164"/>
      <c r="F265" s="164"/>
      <c r="G265" s="164"/>
      <c r="H265" s="49"/>
      <c r="I265" s="49"/>
      <c r="J265" s="105"/>
      <c r="K265" s="175"/>
      <c r="L265" s="1"/>
      <c r="M265" s="1"/>
      <c r="N265" s="278" t="s">
        <v>68</v>
      </c>
      <c r="O265" s="278">
        <v>2019</v>
      </c>
      <c r="P265" s="280">
        <v>37741</v>
      </c>
      <c r="Q265" s="280">
        <v>22034</v>
      </c>
      <c r="R265" s="280">
        <v>9090</v>
      </c>
      <c r="S265" s="280">
        <f t="shared" si="25"/>
        <v>6617</v>
      </c>
      <c r="T265" s="327" t="s">
        <v>484</v>
      </c>
      <c r="U265" s="1"/>
      <c r="V265" s="1"/>
      <c r="W265" s="1"/>
      <c r="X265" s="1"/>
      <c r="Y265" s="1"/>
    </row>
    <row r="266" spans="1:25" ht="12.75" customHeight="1" x14ac:dyDescent="0.2">
      <c r="A266" s="1"/>
      <c r="B266" s="58" t="s">
        <v>533</v>
      </c>
      <c r="C266" s="49"/>
      <c r="D266" s="1"/>
      <c r="E266" s="164"/>
      <c r="F266" s="164"/>
      <c r="G266" s="164"/>
      <c r="H266" s="49"/>
      <c r="I266" s="132"/>
      <c r="J266" s="284"/>
      <c r="K266" s="175"/>
      <c r="L266" s="1"/>
      <c r="M266" s="1"/>
      <c r="N266" s="278" t="s">
        <v>69</v>
      </c>
      <c r="O266" s="278">
        <v>2019</v>
      </c>
      <c r="P266" s="280">
        <v>30836</v>
      </c>
      <c r="Q266" s="280">
        <v>19272</v>
      </c>
      <c r="R266" s="280">
        <v>7709</v>
      </c>
      <c r="S266" s="280">
        <f t="shared" si="25"/>
        <v>3855</v>
      </c>
      <c r="T266" s="327" t="s">
        <v>484</v>
      </c>
      <c r="U266" s="1"/>
      <c r="V266" s="1"/>
      <c r="W266" s="1"/>
      <c r="X266" s="1"/>
      <c r="Y266" s="1"/>
    </row>
    <row r="267" spans="1:25" ht="12.75" customHeight="1" x14ac:dyDescent="0.2">
      <c r="A267" s="1"/>
      <c r="B267" s="58" t="s">
        <v>537</v>
      </c>
      <c r="C267" s="49">
        <v>44977.74</v>
      </c>
      <c r="D267" s="1"/>
      <c r="E267" s="164">
        <f>+C267*0.125</f>
        <v>5622.2174999999997</v>
      </c>
      <c r="F267" s="164">
        <f>+C267*0.25</f>
        <v>11244.434999999999</v>
      </c>
      <c r="G267" s="164">
        <f>+C267*0.25</f>
        <v>11244.434999999999</v>
      </c>
      <c r="H267" s="49">
        <f>+C267*0.25</f>
        <v>11244.434999999999</v>
      </c>
      <c r="I267" s="132">
        <f>+C267*0.125</f>
        <v>5622.2174999999997</v>
      </c>
      <c r="J267" s="284"/>
      <c r="K267" s="175"/>
      <c r="L267" s="1"/>
      <c r="M267" s="1"/>
      <c r="N267" s="278" t="s">
        <v>485</v>
      </c>
      <c r="O267" s="278">
        <v>2019</v>
      </c>
      <c r="P267" s="280">
        <v>61671</v>
      </c>
      <c r="Q267" s="280">
        <v>38544</v>
      </c>
      <c r="R267" s="280">
        <v>15418</v>
      </c>
      <c r="S267" s="280">
        <f t="shared" si="25"/>
        <v>7709</v>
      </c>
      <c r="T267" s="327" t="s">
        <v>484</v>
      </c>
      <c r="U267" s="1"/>
      <c r="V267" s="1"/>
      <c r="W267" s="1"/>
      <c r="X267" s="1"/>
      <c r="Y267" s="1"/>
    </row>
    <row r="268" spans="1:25" ht="12.75" customHeight="1" x14ac:dyDescent="0.2">
      <c r="A268" s="1"/>
      <c r="B268" s="58" t="s">
        <v>673</v>
      </c>
      <c r="C268" s="49"/>
      <c r="D268" s="1"/>
      <c r="E268" s="164"/>
      <c r="F268" s="164"/>
      <c r="G268" s="164"/>
      <c r="H268" s="49"/>
      <c r="I268" s="132"/>
      <c r="J268" s="284"/>
      <c r="K268" s="175"/>
      <c r="L268" s="1"/>
      <c r="M268" s="1"/>
      <c r="N268" s="278" t="s">
        <v>71</v>
      </c>
      <c r="O268" s="278">
        <v>2019</v>
      </c>
      <c r="P268" s="280">
        <v>16042</v>
      </c>
      <c r="Q268" s="280">
        <v>7296</v>
      </c>
      <c r="R268" s="280">
        <v>3208</v>
      </c>
      <c r="S268" s="280">
        <f t="shared" si="25"/>
        <v>5538</v>
      </c>
      <c r="T268" s="327" t="s">
        <v>486</v>
      </c>
      <c r="U268" s="1"/>
      <c r="V268" s="1"/>
      <c r="W268" s="1"/>
      <c r="X268" s="1"/>
      <c r="Y268" s="1"/>
    </row>
    <row r="269" spans="1:25" ht="12.75" customHeight="1" x14ac:dyDescent="0.2">
      <c r="A269" s="1"/>
      <c r="B269" s="58" t="s">
        <v>668</v>
      </c>
      <c r="C269" s="49">
        <v>60011.8</v>
      </c>
      <c r="D269" s="1"/>
      <c r="E269" s="164">
        <v>0</v>
      </c>
      <c r="F269" s="164">
        <f>+C269*0.1</f>
        <v>6001.18</v>
      </c>
      <c r="G269" s="164">
        <f>+C269*0.2</f>
        <v>12002.36</v>
      </c>
      <c r="H269" s="49">
        <f>+C269*0.2</f>
        <v>12002.36</v>
      </c>
      <c r="I269" s="132">
        <f>+C269*0.2</f>
        <v>12002.36</v>
      </c>
      <c r="J269" s="284">
        <f>+C269*0.2</f>
        <v>12002.36</v>
      </c>
      <c r="K269" s="285">
        <f>+C269*0.1</f>
        <v>6001.18</v>
      </c>
      <c r="L269" s="1"/>
      <c r="M269" s="1"/>
      <c r="N269" s="278" t="s">
        <v>72</v>
      </c>
      <c r="O269" s="278">
        <v>2019</v>
      </c>
      <c r="P269" s="280">
        <v>14640</v>
      </c>
      <c r="Q269" s="280">
        <v>7320</v>
      </c>
      <c r="R269" s="280">
        <v>2928</v>
      </c>
      <c r="S269" s="280">
        <f t="shared" si="25"/>
        <v>4392</v>
      </c>
      <c r="T269" s="327" t="s">
        <v>487</v>
      </c>
      <c r="U269" s="1"/>
      <c r="V269" s="1"/>
      <c r="W269" s="1"/>
      <c r="X269" s="1"/>
      <c r="Y269" s="1"/>
    </row>
    <row r="270" spans="1:25" ht="12.75" customHeight="1" x14ac:dyDescent="0.2">
      <c r="A270" s="1"/>
      <c r="B270" s="8"/>
      <c r="C270" s="107">
        <f>SUM(C267:C269)</f>
        <v>104989.54000000001</v>
      </c>
      <c r="D270" s="1"/>
      <c r="E270" s="165">
        <f>SUM(E267:E267)</f>
        <v>5622.2174999999997</v>
      </c>
      <c r="F270" s="165">
        <f t="shared" ref="F270:K270" si="28">SUM(F264:F269)</f>
        <v>17245.614999999998</v>
      </c>
      <c r="G270" s="165">
        <f t="shared" si="28"/>
        <v>23246.794999999998</v>
      </c>
      <c r="H270" s="674">
        <f t="shared" si="28"/>
        <v>23246.794999999998</v>
      </c>
      <c r="I270" s="107">
        <f t="shared" si="28"/>
        <v>17624.577499999999</v>
      </c>
      <c r="J270" s="107">
        <f t="shared" si="28"/>
        <v>12002.36</v>
      </c>
      <c r="K270" s="107">
        <f t="shared" si="28"/>
        <v>6001.18</v>
      </c>
      <c r="L270" s="1"/>
      <c r="M270" s="1"/>
      <c r="N270" s="278" t="s">
        <v>74</v>
      </c>
      <c r="O270" s="278">
        <v>2019</v>
      </c>
      <c r="P270" s="280">
        <v>11586</v>
      </c>
      <c r="Q270" s="280">
        <v>5793</v>
      </c>
      <c r="R270" s="280">
        <v>2317</v>
      </c>
      <c r="S270" s="280">
        <f t="shared" si="25"/>
        <v>3476</v>
      </c>
      <c r="T270" s="327" t="s">
        <v>487</v>
      </c>
      <c r="U270" s="1"/>
      <c r="V270" s="1"/>
      <c r="W270" s="1"/>
      <c r="X270" s="1"/>
      <c r="Y270" s="1"/>
    </row>
    <row r="271" spans="1:25" ht="12.75" customHeight="1" thickBo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78" t="s">
        <v>75</v>
      </c>
      <c r="O271" s="278">
        <v>2019</v>
      </c>
      <c r="P271" s="280">
        <v>21313</v>
      </c>
      <c r="Q271" s="280">
        <v>10657</v>
      </c>
      <c r="R271" s="280">
        <v>4263</v>
      </c>
      <c r="S271" s="280">
        <f t="shared" si="25"/>
        <v>6393</v>
      </c>
      <c r="T271" s="327" t="s">
        <v>486</v>
      </c>
      <c r="U271" s="1"/>
      <c r="V271" s="1"/>
      <c r="W271" s="1"/>
      <c r="X271" s="1"/>
      <c r="Y271" s="1"/>
    </row>
    <row r="272" spans="1:25" ht="12.75" customHeight="1" thickBot="1" x14ac:dyDescent="0.25">
      <c r="A272" s="1"/>
      <c r="B272" s="1040" t="s">
        <v>672</v>
      </c>
      <c r="C272" s="1041"/>
      <c r="D272" s="1"/>
      <c r="E272" s="1042" t="s">
        <v>442</v>
      </c>
      <c r="F272" s="1043"/>
      <c r="G272" s="1043"/>
      <c r="H272" s="1043"/>
      <c r="I272" s="1043"/>
      <c r="J272" s="1041"/>
      <c r="K272" s="1"/>
      <c r="L272" s="1"/>
      <c r="M272" s="1"/>
      <c r="N272" s="278" t="s">
        <v>657</v>
      </c>
      <c r="O272" s="278">
        <v>2020</v>
      </c>
      <c r="P272" s="280">
        <v>80061</v>
      </c>
      <c r="Q272" s="280">
        <v>32335</v>
      </c>
      <c r="R272" s="280">
        <v>20202</v>
      </c>
      <c r="S272" s="280">
        <f t="shared" si="25"/>
        <v>27524</v>
      </c>
      <c r="T272" s="327" t="s">
        <v>658</v>
      </c>
      <c r="U272" s="1"/>
      <c r="V272" s="1"/>
      <c r="W272" s="1"/>
      <c r="X272" s="1"/>
      <c r="Y272" s="1"/>
    </row>
    <row r="273" spans="1:25" ht="12.75" customHeight="1" x14ac:dyDescent="0.2">
      <c r="A273" s="1"/>
      <c r="B273" s="101" t="s">
        <v>444</v>
      </c>
      <c r="C273" s="102">
        <f>+C281</f>
        <v>485045.16</v>
      </c>
      <c r="D273" s="1"/>
      <c r="E273" s="159">
        <v>2021</v>
      </c>
      <c r="F273" s="159">
        <v>2022</v>
      </c>
      <c r="G273" s="101">
        <v>2023</v>
      </c>
      <c r="H273" s="101">
        <v>2024</v>
      </c>
      <c r="I273" s="101">
        <v>2025</v>
      </c>
      <c r="J273" s="101">
        <v>2026</v>
      </c>
      <c r="K273" s="1"/>
      <c r="L273" s="1"/>
      <c r="M273" s="1"/>
      <c r="N273" s="278" t="s">
        <v>45</v>
      </c>
      <c r="O273" s="278">
        <v>2020</v>
      </c>
      <c r="P273" s="280">
        <v>83391</v>
      </c>
      <c r="Q273" s="280">
        <v>17684</v>
      </c>
      <c r="R273" s="280">
        <v>15413</v>
      </c>
      <c r="S273" s="280">
        <f t="shared" si="25"/>
        <v>50294</v>
      </c>
      <c r="T273" s="327" t="s">
        <v>537</v>
      </c>
      <c r="U273" s="1"/>
      <c r="V273" s="1"/>
      <c r="W273" s="1"/>
      <c r="X273" s="1"/>
      <c r="Y273" s="1"/>
    </row>
    <row r="274" spans="1:25" ht="12.75" customHeight="1" x14ac:dyDescent="0.2">
      <c r="A274" s="1"/>
      <c r="B274" s="8"/>
      <c r="C274" s="49"/>
      <c r="D274" s="1"/>
      <c r="E274" s="164"/>
      <c r="F274" s="164"/>
      <c r="G274" s="49"/>
      <c r="H274" s="49"/>
      <c r="I274" s="49"/>
      <c r="J274" s="134"/>
      <c r="K274" s="1"/>
      <c r="L274" s="1"/>
      <c r="M274" s="1"/>
      <c r="N274" s="278" t="s">
        <v>46</v>
      </c>
      <c r="O274" s="278">
        <v>2020</v>
      </c>
      <c r="P274" s="280">
        <v>104990</v>
      </c>
      <c r="Q274" s="280">
        <v>22868</v>
      </c>
      <c r="R274" s="280">
        <v>23247</v>
      </c>
      <c r="S274" s="280">
        <f t="shared" si="25"/>
        <v>58875</v>
      </c>
      <c r="T274" s="327" t="s">
        <v>537</v>
      </c>
      <c r="U274" s="1"/>
      <c r="V274" s="1"/>
      <c r="W274" s="1"/>
      <c r="X274" s="1"/>
      <c r="Y274" s="1"/>
    </row>
    <row r="275" spans="1:25" ht="12.75" customHeight="1" x14ac:dyDescent="0.2">
      <c r="A275" s="1"/>
      <c r="B275" s="8"/>
      <c r="C275" s="49"/>
      <c r="D275" s="1"/>
      <c r="E275" s="164"/>
      <c r="F275" s="164"/>
      <c r="G275" s="49"/>
      <c r="H275" s="49"/>
      <c r="I275" s="49"/>
      <c r="J275" s="49"/>
      <c r="K275" s="1"/>
      <c r="L275" s="1"/>
      <c r="M275" s="1"/>
      <c r="N275" s="278" t="s">
        <v>41</v>
      </c>
      <c r="O275" s="278">
        <v>2021</v>
      </c>
      <c r="P275" s="280">
        <v>485045</v>
      </c>
      <c r="Q275" s="280">
        <v>41186</v>
      </c>
      <c r="R275" s="280">
        <v>91520</v>
      </c>
      <c r="S275" s="280">
        <f t="shared" si="25"/>
        <v>352339</v>
      </c>
      <c r="T275" s="327" t="s">
        <v>765</v>
      </c>
      <c r="U275" s="1"/>
      <c r="V275" s="1"/>
      <c r="W275" s="1"/>
      <c r="X275" s="1"/>
      <c r="Y275" s="1"/>
    </row>
    <row r="276" spans="1:25" ht="12.75" customHeight="1" x14ac:dyDescent="0.2">
      <c r="A276" s="1"/>
      <c r="B276" s="58" t="s">
        <v>673</v>
      </c>
      <c r="C276" s="102">
        <f>409417.36+2440</f>
        <v>411857.36</v>
      </c>
      <c r="D276" s="1"/>
      <c r="E276" s="164"/>
      <c r="F276" s="164"/>
      <c r="G276" s="49"/>
      <c r="H276" s="49"/>
      <c r="I276" s="132"/>
      <c r="J276" s="132"/>
      <c r="K276" s="1"/>
      <c r="L276" s="1"/>
      <c r="M276" s="1"/>
      <c r="N276" s="278" t="s">
        <v>753</v>
      </c>
      <c r="O276" s="278">
        <v>2021</v>
      </c>
      <c r="P276" s="280">
        <v>19649</v>
      </c>
      <c r="Q276" s="280">
        <v>2456</v>
      </c>
      <c r="R276" s="280">
        <v>4912</v>
      </c>
      <c r="S276" s="280">
        <f t="shared" si="25"/>
        <v>12281</v>
      </c>
      <c r="T276" s="327" t="s">
        <v>537</v>
      </c>
      <c r="U276" s="1"/>
      <c r="V276" s="1"/>
      <c r="W276" s="1"/>
      <c r="X276" s="1"/>
      <c r="Y276" s="1"/>
    </row>
    <row r="277" spans="1:25" ht="12.75" customHeight="1" x14ac:dyDescent="0.2">
      <c r="A277" s="1"/>
      <c r="B277" s="58" t="s">
        <v>674</v>
      </c>
      <c r="C277" s="49">
        <f>+C276</f>
        <v>411857.36</v>
      </c>
      <c r="D277" s="1"/>
      <c r="E277" s="164">
        <f>+C277*0.1</f>
        <v>41185.736000000004</v>
      </c>
      <c r="F277" s="164">
        <f>+C277*0.2</f>
        <v>82371.472000000009</v>
      </c>
      <c r="G277" s="49">
        <f>+C277*0.2</f>
        <v>82371.472000000009</v>
      </c>
      <c r="H277" s="49">
        <f>+C277*0.2</f>
        <v>82371.472000000009</v>
      </c>
      <c r="I277" s="132">
        <f>+C277*0.2</f>
        <v>82371.472000000009</v>
      </c>
      <c r="J277" s="132">
        <f>+E277</f>
        <v>41185.736000000004</v>
      </c>
      <c r="K277" s="1"/>
      <c r="L277" s="1"/>
      <c r="M277" s="1"/>
      <c r="N277" s="278" t="s">
        <v>603</v>
      </c>
      <c r="O277" s="278">
        <v>2021</v>
      </c>
      <c r="P277" s="280">
        <v>26382</v>
      </c>
      <c r="Q277" s="280">
        <v>2638</v>
      </c>
      <c r="R277" s="280">
        <v>5276</v>
      </c>
      <c r="S277" s="280">
        <f t="shared" si="25"/>
        <v>18468</v>
      </c>
      <c r="T277" s="327" t="s">
        <v>766</v>
      </c>
      <c r="U277" s="1"/>
      <c r="V277" s="1"/>
      <c r="W277" s="1"/>
      <c r="X277" s="1"/>
      <c r="Y277" s="1"/>
    </row>
    <row r="278" spans="1:25" ht="12.75" customHeight="1" x14ac:dyDescent="0.2">
      <c r="A278" s="1"/>
      <c r="B278" s="482"/>
      <c r="C278" s="174">
        <f>SUM(C277:C277)</f>
        <v>411857.36</v>
      </c>
      <c r="D278" s="173"/>
      <c r="E278" s="483">
        <f t="shared" ref="E278:J278" si="29">SUM(E277:E277)</f>
        <v>41185.736000000004</v>
      </c>
      <c r="F278" s="483">
        <f t="shared" si="29"/>
        <v>82371.472000000009</v>
      </c>
      <c r="G278" s="174">
        <f t="shared" si="29"/>
        <v>82371.472000000009</v>
      </c>
      <c r="H278" s="174">
        <f t="shared" si="29"/>
        <v>82371.472000000009</v>
      </c>
      <c r="I278" s="174">
        <f t="shared" si="29"/>
        <v>82371.472000000009</v>
      </c>
      <c r="J278" s="174">
        <f t="shared" si="29"/>
        <v>41185.736000000004</v>
      </c>
      <c r="K278" s="1"/>
      <c r="L278" s="1"/>
      <c r="M278" s="1"/>
      <c r="N278" s="278" t="s">
        <v>710</v>
      </c>
      <c r="O278" s="278">
        <v>2021</v>
      </c>
      <c r="P278" s="280">
        <f>39584+604</f>
        <v>40188</v>
      </c>
      <c r="Q278" s="280">
        <v>2332</v>
      </c>
      <c r="R278" s="280">
        <v>6697</v>
      </c>
      <c r="S278" s="280">
        <f t="shared" si="25"/>
        <v>31159</v>
      </c>
      <c r="T278" s="327" t="s">
        <v>537</v>
      </c>
      <c r="U278" s="1"/>
      <c r="V278" s="1"/>
      <c r="W278" s="1"/>
      <c r="X278" s="1"/>
      <c r="Y278" s="1"/>
    </row>
    <row r="279" spans="1:25" ht="12.75" customHeight="1" x14ac:dyDescent="0.2">
      <c r="A279" s="1"/>
      <c r="B279" s="486" t="s">
        <v>863</v>
      </c>
      <c r="C279" s="484"/>
      <c r="D279" s="175"/>
      <c r="E279" s="485"/>
      <c r="F279" s="485"/>
      <c r="G279" s="484"/>
      <c r="H279" s="484"/>
      <c r="I279" s="484"/>
      <c r="J279" s="484"/>
      <c r="K279" s="1"/>
      <c r="L279" s="1"/>
      <c r="M279" s="1"/>
      <c r="N279" s="510" t="s">
        <v>47</v>
      </c>
      <c r="O279" s="158"/>
      <c r="P279" s="511">
        <v>14518</v>
      </c>
      <c r="Q279" s="511">
        <v>0</v>
      </c>
      <c r="R279" s="511">
        <v>1452</v>
      </c>
      <c r="S279" s="511">
        <f t="shared" si="25"/>
        <v>13066</v>
      </c>
      <c r="T279" s="512" t="s">
        <v>765</v>
      </c>
      <c r="U279" s="1"/>
      <c r="V279" s="1"/>
      <c r="W279" s="1"/>
      <c r="X279" s="1"/>
      <c r="Y279" s="1"/>
    </row>
    <row r="280" spans="1:25" ht="12.75" customHeight="1" x14ac:dyDescent="0.2">
      <c r="A280" s="1"/>
      <c r="B280" s="486" t="s">
        <v>537</v>
      </c>
      <c r="C280" s="484">
        <v>73187.8</v>
      </c>
      <c r="D280" s="175"/>
      <c r="E280" s="485"/>
      <c r="F280" s="485">
        <f>+C280*0.125</f>
        <v>9148.4750000000004</v>
      </c>
      <c r="G280" s="484">
        <f>+C280*0.25</f>
        <v>18296.95</v>
      </c>
      <c r="H280" s="484">
        <f>+C280*0.25</f>
        <v>18296.95</v>
      </c>
      <c r="I280" s="484">
        <f>+C280*0.25</f>
        <v>18296.95</v>
      </c>
      <c r="J280" s="484">
        <f>+C280*0.125</f>
        <v>9148.4750000000004</v>
      </c>
      <c r="K280" s="1"/>
      <c r="L280" s="1"/>
      <c r="M280" s="1"/>
      <c r="N280" s="350"/>
      <c r="O280" s="350"/>
      <c r="P280" s="351">
        <f>SUM(P248:P279)</f>
        <v>2789064</v>
      </c>
      <c r="Q280" s="351">
        <f>SUM(Q248:Q279)</f>
        <v>1365868</v>
      </c>
      <c r="R280" s="351">
        <f>SUM(R248:R279)</f>
        <v>507703.2</v>
      </c>
      <c r="S280" s="351">
        <f>SUM(S248:S279)</f>
        <v>915492.8</v>
      </c>
      <c r="T280" s="352"/>
      <c r="U280" s="1"/>
      <c r="V280" s="1"/>
      <c r="W280" s="1"/>
      <c r="X280" s="1"/>
      <c r="Y280" s="1"/>
    </row>
    <row r="281" spans="1:25" ht="12.75" customHeight="1" x14ac:dyDescent="0.2">
      <c r="A281" s="1"/>
      <c r="B281" s="486" t="s">
        <v>29</v>
      </c>
      <c r="C281" s="484">
        <f>+C280+C278</f>
        <v>485045.16</v>
      </c>
      <c r="D281" s="175"/>
      <c r="E281" s="485"/>
      <c r="F281" s="485">
        <f>+F278+F280</f>
        <v>91519.947000000015</v>
      </c>
      <c r="G281" s="676">
        <f>+G278+G280</f>
        <v>100668.42200000001</v>
      </c>
      <c r="H281" s="484">
        <f>+H278+H280</f>
        <v>100668.42200000001</v>
      </c>
      <c r="I281" s="484">
        <f>+I278+I280</f>
        <v>100668.42200000001</v>
      </c>
      <c r="J281" s="484">
        <f>+J278+J280</f>
        <v>50334.211000000003</v>
      </c>
      <c r="K281" s="1"/>
      <c r="L281" s="1"/>
      <c r="M281" s="1"/>
      <c r="U281" s="1"/>
      <c r="V281" s="1"/>
      <c r="W281" s="1"/>
      <c r="X281" s="1"/>
      <c r="Y281" s="1"/>
    </row>
    <row r="282" spans="1:25" ht="12.75" customHeight="1" thickBo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U282" s="1"/>
      <c r="V282" s="1"/>
      <c r="W282" s="1"/>
      <c r="X282" s="1"/>
      <c r="Y282" s="1"/>
    </row>
    <row r="283" spans="1:25" ht="12.75" customHeight="1" thickBot="1" x14ac:dyDescent="0.25">
      <c r="A283" s="1"/>
      <c r="B283" s="1044" t="s">
        <v>654</v>
      </c>
      <c r="C283" s="1045"/>
      <c r="D283" s="1"/>
      <c r="E283" s="1046" t="s">
        <v>442</v>
      </c>
      <c r="F283" s="1047"/>
      <c r="G283" s="1047"/>
      <c r="H283" s="1047"/>
      <c r="I283" s="1047"/>
      <c r="J283" s="1045"/>
      <c r="K283" s="1"/>
      <c r="L283" s="1"/>
      <c r="M283" s="1"/>
      <c r="N283" s="158"/>
      <c r="O283" s="158"/>
      <c r="P283" s="158"/>
      <c r="Q283" s="158"/>
      <c r="R283" s="158"/>
      <c r="S283" s="158"/>
      <c r="T283" s="158"/>
      <c r="U283" s="1"/>
      <c r="V283" s="1"/>
      <c r="W283" s="1"/>
      <c r="X283" s="1"/>
      <c r="Y283" s="1"/>
    </row>
    <row r="284" spans="1:25" ht="12.75" customHeight="1" x14ac:dyDescent="0.2">
      <c r="A284" s="1"/>
      <c r="B284" s="101" t="s">
        <v>444</v>
      </c>
      <c r="C284" s="102">
        <f>+C287</f>
        <v>19648.84</v>
      </c>
      <c r="D284" s="1"/>
      <c r="E284" s="159">
        <v>2021</v>
      </c>
      <c r="F284" s="159">
        <v>2022</v>
      </c>
      <c r="G284" s="101">
        <v>2023</v>
      </c>
      <c r="H284" s="101">
        <v>2024</v>
      </c>
      <c r="I284" s="101">
        <v>2025</v>
      </c>
      <c r="J284" s="101">
        <v>2026</v>
      </c>
      <c r="K284" s="1"/>
      <c r="L284" s="1"/>
      <c r="M284" s="1"/>
      <c r="N284" s="279"/>
      <c r="O284" s="279"/>
      <c r="P284" s="508"/>
      <c r="Q284" s="508"/>
      <c r="R284" s="508"/>
      <c r="S284" s="508"/>
      <c r="T284" s="509"/>
      <c r="U284" s="1"/>
      <c r="V284" s="1"/>
      <c r="W284" s="1"/>
      <c r="X284" s="1"/>
      <c r="Y284" s="1"/>
    </row>
    <row r="285" spans="1:25" ht="12.75" customHeight="1" x14ac:dyDescent="0.2">
      <c r="A285" s="1"/>
      <c r="B285" s="8"/>
      <c r="C285" s="49"/>
      <c r="D285" s="1"/>
      <c r="E285" s="164"/>
      <c r="F285" s="164"/>
      <c r="G285" s="49"/>
      <c r="H285" s="49"/>
      <c r="I285" s="49"/>
      <c r="J285" s="134"/>
      <c r="K285" s="1"/>
      <c r="L285" s="1"/>
      <c r="M285" s="1"/>
      <c r="N285" s="279"/>
      <c r="O285" s="279"/>
      <c r="P285" s="508"/>
      <c r="Q285" s="508"/>
      <c r="R285" s="508"/>
      <c r="S285" s="508"/>
      <c r="T285" s="509"/>
      <c r="U285" s="1"/>
      <c r="V285" s="1"/>
      <c r="W285" s="1"/>
      <c r="X285" s="1"/>
      <c r="Y285" s="1"/>
    </row>
    <row r="286" spans="1:25" ht="12.75" customHeight="1" x14ac:dyDescent="0.2">
      <c r="A286" s="1"/>
      <c r="B286" s="8"/>
      <c r="C286" s="49"/>
      <c r="D286" s="1"/>
      <c r="E286" s="164"/>
      <c r="F286" s="164"/>
      <c r="G286" s="49"/>
      <c r="H286" s="49"/>
      <c r="I286" s="49"/>
      <c r="J286" s="49"/>
      <c r="K286" s="1"/>
      <c r="L286" s="1"/>
      <c r="M286" s="1"/>
      <c r="N286" s="279"/>
      <c r="O286" s="279"/>
      <c r="P286" s="508"/>
      <c r="Q286" s="508"/>
      <c r="R286" s="508"/>
      <c r="S286" s="508"/>
      <c r="T286" s="509"/>
      <c r="U286" s="1"/>
      <c r="V286" s="1"/>
      <c r="W286" s="1"/>
      <c r="X286" s="1"/>
      <c r="Y286" s="1"/>
    </row>
    <row r="287" spans="1:25" ht="12.75" customHeight="1" x14ac:dyDescent="0.2">
      <c r="A287" s="1"/>
      <c r="B287" s="58" t="s">
        <v>673</v>
      </c>
      <c r="C287" s="102">
        <v>19648.84</v>
      </c>
      <c r="D287" s="1"/>
      <c r="E287" s="164"/>
      <c r="F287" s="164"/>
      <c r="G287" s="49"/>
      <c r="H287" s="49"/>
      <c r="I287" s="132"/>
      <c r="J287" s="132"/>
      <c r="K287" s="1"/>
      <c r="L287" s="1"/>
      <c r="M287" s="1"/>
      <c r="N287" s="158"/>
      <c r="O287" s="158"/>
      <c r="P287" s="158"/>
      <c r="Q287" s="158"/>
      <c r="R287" s="158"/>
      <c r="S287" s="158"/>
      <c r="T287" s="158"/>
      <c r="U287" s="1"/>
      <c r="V287" s="1"/>
      <c r="W287" s="1"/>
      <c r="X287" s="1"/>
      <c r="Y287" s="1"/>
    </row>
    <row r="288" spans="1:25" ht="12.75" customHeight="1" x14ac:dyDescent="0.2">
      <c r="A288" s="1"/>
      <c r="B288" s="514" t="s">
        <v>537</v>
      </c>
      <c r="C288" s="515">
        <f>+C287</f>
        <v>19648.84</v>
      </c>
      <c r="D288" s="173"/>
      <c r="E288" s="516">
        <f>+C288*0.125</f>
        <v>2456.105</v>
      </c>
      <c r="F288" s="516">
        <f>+C288*0.25</f>
        <v>4912.21</v>
      </c>
      <c r="G288" s="515">
        <f>+C288*0.25</f>
        <v>4912.21</v>
      </c>
      <c r="H288" s="515">
        <f>+C288*0.25</f>
        <v>4912.21</v>
      </c>
      <c r="I288" s="517">
        <f>+C288*0.125</f>
        <v>2456.105</v>
      </c>
      <c r="J288" s="517"/>
      <c r="K288" s="1"/>
      <c r="L288" s="1"/>
      <c r="M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75"/>
      <c r="C289" s="484">
        <f>SUM(C288:C288)</f>
        <v>19648.84</v>
      </c>
      <c r="D289" s="175"/>
      <c r="E289" s="485">
        <f t="shared" ref="E289:J289" si="30">SUM(E288:E288)</f>
        <v>2456.105</v>
      </c>
      <c r="F289" s="485">
        <f t="shared" si="30"/>
        <v>4912.21</v>
      </c>
      <c r="G289" s="676">
        <f t="shared" si="30"/>
        <v>4912.21</v>
      </c>
      <c r="H289" s="484">
        <f t="shared" si="30"/>
        <v>4912.21</v>
      </c>
      <c r="I289" s="484">
        <f t="shared" si="30"/>
        <v>2456.105</v>
      </c>
      <c r="J289" s="484">
        <f t="shared" si="30"/>
        <v>0</v>
      </c>
      <c r="K289" s="1"/>
      <c r="L289" s="1"/>
      <c r="M289" s="1"/>
      <c r="U289" s="1"/>
      <c r="V289" s="1"/>
      <c r="W289" s="1"/>
      <c r="X289" s="1"/>
      <c r="Y289" s="1"/>
    </row>
    <row r="290" spans="1:25" ht="12.75" customHeight="1" x14ac:dyDescent="0.2">
      <c r="A290" s="1"/>
      <c r="K290" s="1"/>
      <c r="L290" s="1"/>
      <c r="M290" s="1"/>
      <c r="U290" s="1"/>
      <c r="V290" s="1"/>
      <c r="W290" s="1"/>
      <c r="X290" s="1"/>
      <c r="Y290" s="1"/>
    </row>
    <row r="291" spans="1:25" ht="12.75" customHeight="1" x14ac:dyDescent="0.2">
      <c r="A291" s="1"/>
      <c r="K291" s="1"/>
      <c r="L291" s="1"/>
      <c r="M291" s="1"/>
      <c r="U291" s="1"/>
      <c r="V291" s="1"/>
      <c r="W291" s="1"/>
      <c r="X291" s="1"/>
      <c r="Y291" s="1"/>
    </row>
    <row r="292" spans="1:25" ht="12.75" customHeight="1" x14ac:dyDescent="0.2">
      <c r="A292" s="1"/>
      <c r="K292" s="1"/>
      <c r="L292" s="1"/>
      <c r="M292" s="1"/>
      <c r="U292" s="1"/>
      <c r="V292" s="1"/>
      <c r="W292" s="1"/>
      <c r="X292" s="1"/>
      <c r="Y292" s="1"/>
    </row>
    <row r="293" spans="1:25" ht="12.75" customHeight="1" thickBo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U293" s="1"/>
      <c r="V293" s="1"/>
      <c r="W293" s="1"/>
      <c r="X293" s="1"/>
      <c r="Y293" s="1"/>
    </row>
    <row r="294" spans="1:25" ht="12.75" customHeight="1" thickBot="1" x14ac:dyDescent="0.25">
      <c r="A294" s="1"/>
      <c r="B294" s="1044" t="s">
        <v>603</v>
      </c>
      <c r="C294" s="1045"/>
      <c r="D294" s="1"/>
      <c r="E294" s="1046" t="s">
        <v>442</v>
      </c>
      <c r="F294" s="1047"/>
      <c r="G294" s="1047"/>
      <c r="H294" s="1047"/>
      <c r="I294" s="1047"/>
      <c r="J294" s="1045"/>
      <c r="K294" s="1"/>
      <c r="L294" s="1"/>
      <c r="M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01" t="s">
        <v>444</v>
      </c>
      <c r="C295" s="102">
        <v>26382.5</v>
      </c>
      <c r="D295" s="1"/>
      <c r="E295" s="159">
        <v>2021</v>
      </c>
      <c r="F295" s="159">
        <v>2022</v>
      </c>
      <c r="G295" s="101">
        <v>2023</v>
      </c>
      <c r="H295" s="101">
        <v>2024</v>
      </c>
      <c r="I295" s="101">
        <v>2025</v>
      </c>
      <c r="J295" s="101">
        <v>2026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8"/>
      <c r="C296" s="49"/>
      <c r="D296" s="1"/>
      <c r="E296" s="164"/>
      <c r="F296" s="164"/>
      <c r="G296" s="49"/>
      <c r="H296" s="49"/>
      <c r="I296" s="49"/>
      <c r="J296" s="13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8"/>
      <c r="C297" s="49"/>
      <c r="D297" s="1"/>
      <c r="E297" s="164"/>
      <c r="F297" s="164"/>
      <c r="G297" s="49"/>
      <c r="H297" s="49"/>
      <c r="I297" s="49"/>
      <c r="J297" s="4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58" t="s">
        <v>673</v>
      </c>
      <c r="C298" s="102">
        <f>+C295</f>
        <v>26382.5</v>
      </c>
      <c r="D298" s="1"/>
      <c r="E298" s="164"/>
      <c r="F298" s="164"/>
      <c r="G298" s="49"/>
      <c r="H298" s="49"/>
      <c r="I298" s="132"/>
      <c r="J298" s="13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58" t="s">
        <v>709</v>
      </c>
      <c r="C299" s="49">
        <f>+C298</f>
        <v>26382.5</v>
      </c>
      <c r="D299" s="1"/>
      <c r="E299" s="164">
        <f>+C299*0.1</f>
        <v>2638.25</v>
      </c>
      <c r="F299" s="164">
        <f>+C299*0.2</f>
        <v>5276.5</v>
      </c>
      <c r="G299" s="49">
        <f>+C299*0.2</f>
        <v>5276.5</v>
      </c>
      <c r="H299" s="49">
        <f>+C299*0.2</f>
        <v>5276.5</v>
      </c>
      <c r="I299" s="132">
        <f>+C299*0.2</f>
        <v>5276.5</v>
      </c>
      <c r="J299" s="132">
        <f>+C299*0.1</f>
        <v>2638.25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8"/>
      <c r="C300" s="107">
        <f>SUM(C299:C299)</f>
        <v>26382.5</v>
      </c>
      <c r="D300" s="1"/>
      <c r="E300" s="165">
        <f t="shared" ref="E300:J300" si="31">SUM(E299:E299)</f>
        <v>2638.25</v>
      </c>
      <c r="F300" s="165">
        <f t="shared" si="31"/>
        <v>5276.5</v>
      </c>
      <c r="G300" s="674">
        <f t="shared" si="31"/>
        <v>5276.5</v>
      </c>
      <c r="H300" s="107">
        <f t="shared" si="31"/>
        <v>5276.5</v>
      </c>
      <c r="I300" s="107">
        <f t="shared" si="31"/>
        <v>5276.5</v>
      </c>
      <c r="J300" s="107">
        <f t="shared" si="31"/>
        <v>2638.25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thickBo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thickBot="1" x14ac:dyDescent="0.25">
      <c r="A302" s="1"/>
      <c r="B302" s="1044" t="s">
        <v>710</v>
      </c>
      <c r="C302" s="1045"/>
      <c r="D302" s="1"/>
      <c r="E302" s="1046" t="s">
        <v>442</v>
      </c>
      <c r="F302" s="1047"/>
      <c r="G302" s="1047"/>
      <c r="H302" s="1047"/>
      <c r="I302" s="1047"/>
      <c r="J302" s="104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01" t="s">
        <v>444</v>
      </c>
      <c r="C303" s="102">
        <f>+C306+C310+600</f>
        <v>40184</v>
      </c>
      <c r="D303" s="1"/>
      <c r="E303" s="159">
        <v>2021</v>
      </c>
      <c r="F303" s="159">
        <v>2022</v>
      </c>
      <c r="G303" s="101">
        <v>2023</v>
      </c>
      <c r="H303" s="101">
        <v>2024</v>
      </c>
      <c r="I303" s="101">
        <v>2025</v>
      </c>
      <c r="J303" s="101">
        <v>2026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8"/>
      <c r="C304" s="49"/>
      <c r="D304" s="1"/>
      <c r="E304" s="164"/>
      <c r="F304" s="164"/>
      <c r="G304" s="49"/>
      <c r="H304" s="49"/>
      <c r="I304" s="49"/>
      <c r="J304" s="13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8"/>
      <c r="C305" s="49"/>
      <c r="D305" s="1"/>
      <c r="E305" s="164"/>
      <c r="F305" s="164"/>
      <c r="G305" s="49"/>
      <c r="H305" s="49"/>
      <c r="I305" s="49"/>
      <c r="J305" s="4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58" t="s">
        <v>673</v>
      </c>
      <c r="C306" s="102">
        <v>23320.18</v>
      </c>
      <c r="D306" s="1"/>
      <c r="E306" s="164"/>
      <c r="F306" s="164"/>
      <c r="G306" s="49"/>
      <c r="H306" s="49"/>
      <c r="I306" s="132"/>
      <c r="J306" s="13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58" t="s">
        <v>537</v>
      </c>
      <c r="C307" s="49">
        <f>+C306</f>
        <v>23320.18</v>
      </c>
      <c r="D307" s="1"/>
      <c r="E307" s="164">
        <f>+C307*0.1</f>
        <v>2332.018</v>
      </c>
      <c r="F307" s="164">
        <f>+C307*0.2</f>
        <v>4664.0360000000001</v>
      </c>
      <c r="G307" s="49">
        <f>+C307*0.2</f>
        <v>4664.0360000000001</v>
      </c>
      <c r="H307" s="49">
        <f>+C307*0.2</f>
        <v>4664.0360000000001</v>
      </c>
      <c r="I307" s="132">
        <f>+C307*0.2</f>
        <v>4664.0360000000001</v>
      </c>
      <c r="J307" s="132">
        <f>+C307*0.1</f>
        <v>2332.018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8"/>
      <c r="C308" s="107">
        <f>SUM(C307:C307)</f>
        <v>23320.18</v>
      </c>
      <c r="D308" s="1"/>
      <c r="E308" s="165">
        <f t="shared" ref="E308:J308" si="32">SUM(E307:E307)</f>
        <v>2332.018</v>
      </c>
      <c r="F308" s="165">
        <f>SUM(F307:F307)</f>
        <v>4664.0360000000001</v>
      </c>
      <c r="G308" s="107">
        <f t="shared" si="32"/>
        <v>4664.0360000000001</v>
      </c>
      <c r="H308" s="107">
        <f t="shared" si="32"/>
        <v>4664.0360000000001</v>
      </c>
      <c r="I308" s="107">
        <f t="shared" si="32"/>
        <v>4664.0360000000001</v>
      </c>
      <c r="J308" s="107">
        <f t="shared" si="32"/>
        <v>2332.018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486" t="s">
        <v>865</v>
      </c>
      <c r="C309" s="484"/>
      <c r="D309" s="175"/>
      <c r="E309" s="485"/>
      <c r="F309" s="485"/>
      <c r="G309" s="484"/>
      <c r="H309" s="484"/>
      <c r="I309" s="484"/>
      <c r="J309" s="48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345" t="s">
        <v>537</v>
      </c>
      <c r="C310" s="484">
        <v>16263.82</v>
      </c>
      <c r="D310" s="175"/>
      <c r="E310" s="484"/>
      <c r="F310" s="485">
        <f>+C310*0.125</f>
        <v>2032.9775</v>
      </c>
      <c r="G310" s="484">
        <f>+C310*0.25</f>
        <v>4065.9549999999999</v>
      </c>
      <c r="H310" s="484">
        <f>+C310*0.25</f>
        <v>4065.9549999999999</v>
      </c>
      <c r="I310" s="484">
        <f>+C310*0.25</f>
        <v>4065.9549999999999</v>
      </c>
      <c r="J310" s="484">
        <f>+C310*0.125</f>
        <v>2032.9775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486" t="s">
        <v>155</v>
      </c>
      <c r="C311" s="484"/>
      <c r="D311" s="175"/>
      <c r="E311" s="484">
        <f>SUM(E308)</f>
        <v>2332.018</v>
      </c>
      <c r="F311" s="485">
        <f>+F308+F310</f>
        <v>6697.0135</v>
      </c>
      <c r="G311" s="676">
        <f>+G308+G310</f>
        <v>8729.991</v>
      </c>
      <c r="H311" s="484">
        <f>+H308+H310</f>
        <v>8729.991</v>
      </c>
      <c r="I311" s="484">
        <f t="shared" ref="I311:J311" si="33">+I308+I310</f>
        <v>8729.991</v>
      </c>
      <c r="J311" s="484">
        <f t="shared" si="33"/>
        <v>4364.9955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thickBot="1" x14ac:dyDescent="0.25">
      <c r="A312" s="1"/>
      <c r="B312" s="173"/>
      <c r="C312" s="513"/>
      <c r="D312" s="1"/>
      <c r="E312" s="513"/>
      <c r="F312" s="513"/>
      <c r="G312" s="513"/>
      <c r="H312" s="513"/>
      <c r="I312" s="513"/>
      <c r="J312" s="51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thickBot="1" x14ac:dyDescent="0.25">
      <c r="A313" s="1"/>
      <c r="B313" s="1044" t="s">
        <v>977</v>
      </c>
      <c r="C313" s="1045"/>
      <c r="D313" s="1"/>
      <c r="E313" s="1046" t="s">
        <v>442</v>
      </c>
      <c r="F313" s="1047"/>
      <c r="G313" s="1047"/>
      <c r="H313" s="1047"/>
      <c r="I313" s="1047"/>
      <c r="J313" s="104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01" t="s">
        <v>444</v>
      </c>
      <c r="C314" s="102">
        <f>+C316</f>
        <v>24186.38</v>
      </c>
      <c r="D314" s="1"/>
      <c r="E314" s="101">
        <v>2023</v>
      </c>
      <c r="F314" s="101">
        <v>2024</v>
      </c>
      <c r="G314" s="101">
        <v>2025</v>
      </c>
      <c r="H314" s="101">
        <v>2026</v>
      </c>
      <c r="I314" s="101">
        <v>2027</v>
      </c>
      <c r="J314" s="101">
        <v>2028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8"/>
      <c r="C315" s="49"/>
      <c r="D315" s="1"/>
      <c r="E315" s="49"/>
      <c r="F315" s="49"/>
      <c r="G315" s="49"/>
      <c r="H315" s="49"/>
      <c r="I315" s="49"/>
      <c r="J315" s="13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58" t="s">
        <v>976</v>
      </c>
      <c r="C316" s="102">
        <f>+C317+C319</f>
        <v>24186.38</v>
      </c>
      <c r="D316" s="1"/>
      <c r="E316" s="49"/>
      <c r="F316" s="49"/>
      <c r="G316" s="49"/>
      <c r="H316" s="49"/>
      <c r="I316" s="132"/>
      <c r="J316" s="13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6" t="s">
        <v>537</v>
      </c>
      <c r="C317" s="49">
        <v>645.38</v>
      </c>
      <c r="D317" s="1"/>
      <c r="E317" s="49">
        <f>+C317*0.125</f>
        <v>80.672499999999999</v>
      </c>
      <c r="F317" s="49">
        <f>+C317*0.25</f>
        <v>161.345</v>
      </c>
      <c r="G317" s="49">
        <f>+C317*0.25</f>
        <v>161.345</v>
      </c>
      <c r="H317" s="49">
        <f>+C317*0.25</f>
        <v>161.345</v>
      </c>
      <c r="I317" s="132">
        <f>+C317*0.125</f>
        <v>80.672499999999999</v>
      </c>
      <c r="J317" s="13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8"/>
      <c r="C318" s="107"/>
      <c r="D318" s="1"/>
      <c r="E318" s="107"/>
      <c r="F318" s="107"/>
      <c r="G318" s="107"/>
      <c r="H318" s="107"/>
      <c r="I318" s="107"/>
      <c r="J318" s="10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345" t="s">
        <v>978</v>
      </c>
      <c r="C319" s="673">
        <v>23541</v>
      </c>
      <c r="D319" s="175"/>
      <c r="E319" s="673">
        <f>+C319*0.1</f>
        <v>2354.1</v>
      </c>
      <c r="F319" s="673">
        <f>+C319*0.2</f>
        <v>4708.2</v>
      </c>
      <c r="G319" s="673">
        <f>+C319*0.2</f>
        <v>4708.2</v>
      </c>
      <c r="H319" s="673">
        <f>+C319*0.2</f>
        <v>4708.2</v>
      </c>
      <c r="I319" s="673">
        <f>+C319*0.2</f>
        <v>4708.2</v>
      </c>
      <c r="J319" s="673">
        <f>+C319*0.1</f>
        <v>2354.1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486" t="s">
        <v>155</v>
      </c>
      <c r="C320" s="484">
        <f>+C319+C317</f>
        <v>24186.38</v>
      </c>
      <c r="D320" s="175"/>
      <c r="E320" s="676">
        <f>+E317+E319</f>
        <v>2434.7725</v>
      </c>
      <c r="F320" s="484">
        <f>+F318+F319+F317</f>
        <v>4869.5450000000001</v>
      </c>
      <c r="G320" s="484">
        <f t="shared" ref="G320:J320" si="34">+G318+G319+G317</f>
        <v>4869.5450000000001</v>
      </c>
      <c r="H320" s="484">
        <f t="shared" si="34"/>
        <v>4869.5450000000001</v>
      </c>
      <c r="I320" s="484">
        <f t="shared" si="34"/>
        <v>4788.8724999999995</v>
      </c>
      <c r="J320" s="484">
        <f t="shared" si="34"/>
        <v>2354.1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thickBot="1" x14ac:dyDescent="0.25">
      <c r="A321" s="1"/>
      <c r="B321" s="671"/>
      <c r="C321" s="513"/>
      <c r="D321" s="173"/>
      <c r="E321" s="513"/>
      <c r="F321" s="513"/>
      <c r="G321" s="513"/>
      <c r="H321" s="513"/>
      <c r="I321" s="513"/>
      <c r="J321" s="51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thickBot="1" x14ac:dyDescent="0.25">
      <c r="A322" s="1"/>
      <c r="B322" s="1040" t="s">
        <v>47</v>
      </c>
      <c r="C322" s="1041"/>
      <c r="D322" s="1"/>
      <c r="E322" s="1042" t="s">
        <v>442</v>
      </c>
      <c r="F322" s="1043"/>
      <c r="G322" s="1043"/>
      <c r="H322" s="1043"/>
      <c r="I322" s="1043"/>
      <c r="J322" s="104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01" t="s">
        <v>444</v>
      </c>
      <c r="C323" s="102">
        <v>14518</v>
      </c>
      <c r="D323" s="1"/>
      <c r="E323" s="159">
        <v>2022</v>
      </c>
      <c r="F323" s="101">
        <v>2023</v>
      </c>
      <c r="G323" s="101">
        <v>2024</v>
      </c>
      <c r="H323" s="101">
        <v>2025</v>
      </c>
      <c r="I323" s="101">
        <v>2026</v>
      </c>
      <c r="J323" s="101">
        <v>2027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8"/>
      <c r="C324" s="49"/>
      <c r="D324" s="1"/>
      <c r="E324" s="164"/>
      <c r="F324" s="49"/>
      <c r="G324" s="49"/>
      <c r="H324" s="49"/>
      <c r="I324" s="49"/>
      <c r="J324" s="13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8"/>
      <c r="C325" s="49"/>
      <c r="D325" s="1"/>
      <c r="E325" s="164"/>
      <c r="F325" s="49"/>
      <c r="G325" s="49"/>
      <c r="H325" s="49"/>
      <c r="I325" s="49"/>
      <c r="J325" s="4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58" t="s">
        <v>863</v>
      </c>
      <c r="C326" s="102">
        <v>14518</v>
      </c>
      <c r="D326" s="1"/>
      <c r="E326" s="164"/>
      <c r="F326" s="49"/>
      <c r="G326" s="49"/>
      <c r="H326" s="49"/>
      <c r="I326" s="132"/>
      <c r="J326" s="13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58" t="s">
        <v>674</v>
      </c>
      <c r="C327" s="49">
        <f>+C326</f>
        <v>14518</v>
      </c>
      <c r="D327" s="1"/>
      <c r="E327" s="164">
        <f>+C327*0.1</f>
        <v>1451.8000000000002</v>
      </c>
      <c r="F327" s="49">
        <f>+C327*0.2</f>
        <v>2903.6000000000004</v>
      </c>
      <c r="G327" s="49">
        <f>+C327*0.2</f>
        <v>2903.6000000000004</v>
      </c>
      <c r="H327" s="49">
        <f>+C327*0.2</f>
        <v>2903.6000000000004</v>
      </c>
      <c r="I327" s="132">
        <f>+C327*0.2</f>
        <v>2903.6000000000004</v>
      </c>
      <c r="J327" s="132">
        <f>+E327</f>
        <v>1451.8000000000002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8"/>
      <c r="C328" s="107">
        <f>SUM(C327:C327)</f>
        <v>14518</v>
      </c>
      <c r="D328" s="1"/>
      <c r="E328" s="165">
        <f t="shared" ref="E328:J328" si="35">SUM(E327:E327)</f>
        <v>1451.8000000000002</v>
      </c>
      <c r="F328" s="674">
        <f>SUM(F327:F327)</f>
        <v>2903.6000000000004</v>
      </c>
      <c r="G328" s="107">
        <f t="shared" si="35"/>
        <v>2903.6000000000004</v>
      </c>
      <c r="H328" s="107">
        <f t="shared" si="35"/>
        <v>2903.6000000000004</v>
      </c>
      <c r="I328" s="107">
        <f t="shared" si="35"/>
        <v>2903.6000000000004</v>
      </c>
      <c r="J328" s="107">
        <f t="shared" si="35"/>
        <v>1451.8000000000002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thickBo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thickBot="1" x14ac:dyDescent="0.25">
      <c r="A330" s="1"/>
      <c r="B330" s="1040" t="s">
        <v>755</v>
      </c>
      <c r="C330" s="1041"/>
      <c r="D330" s="1"/>
      <c r="E330" s="1042" t="s">
        <v>442</v>
      </c>
      <c r="F330" s="1043"/>
      <c r="G330" s="1043"/>
      <c r="H330" s="1043"/>
      <c r="I330" s="1043"/>
      <c r="J330" s="104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01" t="s">
        <v>444</v>
      </c>
      <c r="C331" s="102">
        <v>9526.4</v>
      </c>
      <c r="D331" s="1"/>
      <c r="E331" s="101">
        <v>2023</v>
      </c>
      <c r="F331" s="101">
        <v>2024</v>
      </c>
      <c r="G331" s="101">
        <v>2025</v>
      </c>
      <c r="H331" s="101">
        <v>2026</v>
      </c>
      <c r="I331" s="101">
        <v>2027</v>
      </c>
      <c r="J331" s="101">
        <v>2028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8"/>
      <c r="C332" s="49"/>
      <c r="D332" s="1"/>
      <c r="E332" s="49"/>
      <c r="F332" s="49"/>
      <c r="G332" s="49"/>
      <c r="H332" s="49"/>
      <c r="I332" s="49"/>
      <c r="J332" s="13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58" t="s">
        <v>976</v>
      </c>
      <c r="C333" s="102">
        <v>9526.4</v>
      </c>
      <c r="D333" s="1"/>
      <c r="E333" s="49"/>
      <c r="F333" s="49"/>
      <c r="G333" s="49"/>
      <c r="H333" s="49"/>
      <c r="I333" s="132"/>
      <c r="J333" s="13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58" t="s">
        <v>674</v>
      </c>
      <c r="C334" s="49">
        <f>+C333</f>
        <v>9526.4</v>
      </c>
      <c r="D334" s="1"/>
      <c r="E334" s="49">
        <f>+C334*0.1</f>
        <v>952.64</v>
      </c>
      <c r="F334" s="49">
        <f>+C334*0.2</f>
        <v>1905.28</v>
      </c>
      <c r="G334" s="49">
        <f>+C334*0.2</f>
        <v>1905.28</v>
      </c>
      <c r="H334" s="49">
        <f>+C334*0.2</f>
        <v>1905.28</v>
      </c>
      <c r="I334" s="132">
        <f>+C334*0.2</f>
        <v>1905.28</v>
      </c>
      <c r="J334" s="132">
        <f>+E334</f>
        <v>952.64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8"/>
      <c r="C335" s="107">
        <f>SUM(C334:C334)</f>
        <v>9526.4</v>
      </c>
      <c r="D335" s="1"/>
      <c r="E335" s="674">
        <f t="shared" ref="E335" si="36">SUM(E334:E334)</f>
        <v>952.64</v>
      </c>
      <c r="F335" s="107">
        <f>SUM(F334:F334)</f>
        <v>1905.28</v>
      </c>
      <c r="G335" s="107">
        <f t="shared" ref="G335:J335" si="37">SUM(G334:G334)</f>
        <v>1905.28</v>
      </c>
      <c r="H335" s="107">
        <f t="shared" si="37"/>
        <v>1905.28</v>
      </c>
      <c r="I335" s="107">
        <f t="shared" si="37"/>
        <v>1905.28</v>
      </c>
      <c r="J335" s="107">
        <f t="shared" si="37"/>
        <v>952.64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69">
        <v>2017</v>
      </c>
      <c r="F341" s="169">
        <v>2018</v>
      </c>
      <c r="G341" s="169">
        <v>2019</v>
      </c>
      <c r="H341" s="169">
        <v>2020</v>
      </c>
      <c r="I341" s="169">
        <v>2021</v>
      </c>
      <c r="J341" s="169">
        <v>2022</v>
      </c>
      <c r="K341" s="169">
        <v>2023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" x14ac:dyDescent="0.2">
      <c r="A342" s="1"/>
      <c r="B342" s="14" t="s">
        <v>488</v>
      </c>
      <c r="C342" s="1"/>
      <c r="D342" s="1"/>
      <c r="E342" s="170"/>
      <c r="F342" s="170"/>
      <c r="G342" s="170"/>
      <c r="H342" s="170"/>
      <c r="I342" s="170"/>
      <c r="J342" s="170"/>
      <c r="K342" s="17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 t="s">
        <v>489</v>
      </c>
      <c r="C343" s="1"/>
      <c r="D343" s="1"/>
      <c r="E343" s="171">
        <f>+H15+G25+E61+E70+E79+E88+E97+E106+E108</f>
        <v>122354.31999999998</v>
      </c>
      <c r="F343" s="171">
        <f>E155+E143+E137+E128+E119+F106+F108+F99+F90+F81+F72+F63+E54+F34+H25+I15</f>
        <v>181062.44</v>
      </c>
      <c r="G343" s="171">
        <f>G155+G146+G137+G128+G119+G108+G106+G99+G90+G81+G72+G63+G54+G34+I25+J15</f>
        <v>250854.60800000001</v>
      </c>
      <c r="H343" s="171">
        <f>+K10+H34+G42+G50+G52+H63+H72+H81+H90+H99+H106+H108+G119+G128+G135+G143+G155+F165+F174+F181+F192+F200+F209+F218+F227+F236+E244+E245+E256+E270</f>
        <v>317053.51000000013</v>
      </c>
      <c r="I343" s="171">
        <f>+L10+I34+H42+H50+H52+I63+I72+I81+I90+I99+I106+I108+H119+H128+H135+H143+H155+G165+G174+G181+G192+G200+G209+G218+G227+G236+F244+F245+F256+F270+E278+E288+E300+E308</f>
        <v>407652.55699999986</v>
      </c>
      <c r="J343" s="171">
        <f>+M10+M11+J34+I42+I50+I52+J63+J72+J81+J90+J99+J106+J108+I119+I128+I135+I143+I155+H165+H174+H181+H192+H200+H209+H218+H227+H236+G244+G245+G259+G270+F281+F311+F300+F308+E328</f>
        <v>470513.78449999995</v>
      </c>
      <c r="K343" s="171">
        <f>+K34+J42+J50+J52+K90+J119+J128+J135+J143+J153+I165+I174+I181+I190+I200+I209+I218+I227+I236+H247+H259+H270+G281+G300+G311+F328+G289+E335+E320</f>
        <v>408958.71350000001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 t="s">
        <v>490</v>
      </c>
      <c r="C344" s="1"/>
      <c r="D344" s="1"/>
      <c r="E344" s="171">
        <f>+E107</f>
        <v>2891.2779999999998</v>
      </c>
      <c r="F344" s="171">
        <f>+F107+E44+E144</f>
        <v>12181.413999999999</v>
      </c>
      <c r="G344" s="171">
        <f>G107+F44</f>
        <v>16543.627</v>
      </c>
      <c r="H344" s="171">
        <f>+G53+H107+G144+E246+G41+G43+F182+G136</f>
        <v>42772.425593617998</v>
      </c>
      <c r="I344" s="171">
        <f>+H53+I107+H144+F246+H41+H43+G182+H136</f>
        <v>42772.421936180006</v>
      </c>
      <c r="J344" s="171">
        <f>+I53+J107+I144+G246+I41+I43+H182+I136</f>
        <v>39881.147593618</v>
      </c>
      <c r="K344" s="171">
        <f>+J43+J53+J136+I182+J144</f>
        <v>26527.192000000003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72">
        <f t="shared" ref="E345:K345" si="38">SUM(E343:E344)</f>
        <v>125245.59799999998</v>
      </c>
      <c r="F345" s="172">
        <f t="shared" si="38"/>
        <v>193243.85399999999</v>
      </c>
      <c r="G345" s="172">
        <f t="shared" si="38"/>
        <v>267398.23499999999</v>
      </c>
      <c r="H345" s="172">
        <f t="shared" si="38"/>
        <v>359825.93559361814</v>
      </c>
      <c r="I345" s="172">
        <f t="shared" si="38"/>
        <v>450424.97893617989</v>
      </c>
      <c r="J345" s="172">
        <f t="shared" si="38"/>
        <v>510394.93209361797</v>
      </c>
      <c r="K345" s="172">
        <f t="shared" si="38"/>
        <v>435485.90549999999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74"/>
      <c r="F346" s="174"/>
      <c r="G346" s="174"/>
      <c r="H346" s="174"/>
      <c r="I346" s="174"/>
      <c r="J346" s="174"/>
      <c r="K346" s="17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505" t="s">
        <v>544</v>
      </c>
      <c r="C347" s="1"/>
      <c r="D347" s="1"/>
      <c r="E347" s="175"/>
      <c r="F347" s="175"/>
      <c r="G347" s="175"/>
      <c r="H347" s="176">
        <f>+E247+F236+F227+F218+F209+F200+F183+F174+G155+G146+G137+G128+G119+H110+H99+H81+H72+H63</f>
        <v>122489.59634361802</v>
      </c>
      <c r="I347" s="304">
        <f>+E308+E300+F247+G236+G227+G218+G209+G200+G183+G174+H155+H146+H137+H128+H119+I110+I99+I81+I72+I63+E289</f>
        <v>138347.44443618</v>
      </c>
      <c r="J347" s="304">
        <f>+F308+F300+G247+H236+H227+H218+H209+H200+H183+H174+I155+I146+I137+I128+I119+J110+J99+J81+J72+J63+F311</f>
        <v>137939.12659361801</v>
      </c>
      <c r="K347" s="500">
        <f>+J119+J128+J137+J146+J155+I174+I183+I200+I209+I218+I227+I236+H247+G289+G300+G311+E320</f>
        <v>91462.485000000001</v>
      </c>
      <c r="L347" s="29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504" t="s">
        <v>545</v>
      </c>
      <c r="C348" s="1"/>
      <c r="D348" s="1"/>
      <c r="E348" s="175"/>
      <c r="F348" s="175"/>
      <c r="G348" s="175"/>
      <c r="H348" s="176">
        <f>+E270+E256+F165+G54+G44+H34+K15</f>
        <v>225604.85925000001</v>
      </c>
      <c r="I348" s="304">
        <f>+E278+F270+F256+G165+H54+H44+I34+L15</f>
        <v>300345.05449999997</v>
      </c>
      <c r="J348" s="304">
        <f>+F281+G270+G259+H165+I54+I44+J34+M15+E328</f>
        <v>361157.72549999994</v>
      </c>
      <c r="K348" s="501">
        <f>+F328+G281+H270+H259+I165+J54+J44+K34+E335</f>
        <v>338591.58049999998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503" t="s">
        <v>546</v>
      </c>
      <c r="C349" s="1"/>
      <c r="D349" s="1"/>
      <c r="E349" s="175"/>
      <c r="F349" s="175"/>
      <c r="G349" s="175"/>
      <c r="H349" s="177">
        <f>+F192+H90</f>
        <v>11732.48</v>
      </c>
      <c r="I349" s="304">
        <f>+G192+I90</f>
        <v>11732.48</v>
      </c>
      <c r="J349" s="304">
        <f>+H192+J90</f>
        <v>11298.08</v>
      </c>
      <c r="K349" s="502">
        <f>+K90+I192</f>
        <v>5431.84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5"/>
      <c r="C350" s="1"/>
      <c r="D350" s="1"/>
      <c r="E350" s="173"/>
      <c r="F350" s="173"/>
      <c r="G350" s="173"/>
      <c r="H350" s="178">
        <f>SUM(H347:H349)</f>
        <v>359826.93559361802</v>
      </c>
      <c r="I350" s="178">
        <f>SUM(I347:I349)</f>
        <v>450424.97893617995</v>
      </c>
      <c r="J350" s="178">
        <f>SUM(J347:J349)</f>
        <v>510394.93209361797</v>
      </c>
      <c r="K350" s="178">
        <f>SUM(K347:K349)</f>
        <v>435485.90549999999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5"/>
      <c r="C351" s="1"/>
      <c r="D351" s="1"/>
      <c r="E351" s="1"/>
      <c r="F351" s="1"/>
      <c r="G351" s="1"/>
      <c r="H351" s="168"/>
      <c r="I351" s="1"/>
      <c r="J351" s="1"/>
      <c r="K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5"/>
      <c r="K352" s="300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645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35"/>
      <c r="K357" s="135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35"/>
      <c r="K358" s="135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thickBo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05" thickBot="1" x14ac:dyDescent="0.25">
      <c r="A390" s="1"/>
      <c r="B390" s="1"/>
      <c r="C390" s="1"/>
      <c r="D390" s="1"/>
      <c r="E390" s="1"/>
      <c r="F390" s="678" t="s">
        <v>286</v>
      </c>
      <c r="G390" s="679" t="s">
        <v>287</v>
      </c>
      <c r="H390" s="679" t="s">
        <v>288</v>
      </c>
      <c r="I390" s="679" t="s">
        <v>479</v>
      </c>
      <c r="J390" s="679" t="s">
        <v>290</v>
      </c>
      <c r="K390" s="679" t="s">
        <v>304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thickBot="1" x14ac:dyDescent="0.25">
      <c r="A391" s="1"/>
      <c r="B391" s="1"/>
      <c r="C391" s="1"/>
      <c r="D391" s="1"/>
      <c r="E391" s="1"/>
      <c r="F391" s="680" t="s">
        <v>51</v>
      </c>
      <c r="G391" s="681">
        <v>2014</v>
      </c>
      <c r="H391" s="682">
        <v>258253</v>
      </c>
      <c r="I391" s="682">
        <v>258253</v>
      </c>
      <c r="J391" s="682">
        <v>0</v>
      </c>
      <c r="K391" s="682">
        <v>0</v>
      </c>
      <c r="L391" s="692">
        <f>+H391-I391-J391-K391</f>
        <v>0</v>
      </c>
      <c r="M391" s="1"/>
      <c r="N391" s="695">
        <v>258253</v>
      </c>
      <c r="O391" s="695">
        <v>258253</v>
      </c>
      <c r="P391" s="695">
        <v>0</v>
      </c>
      <c r="Q391" s="695">
        <v>0</v>
      </c>
      <c r="R391" s="692">
        <f>+N391-O391-P391-Q391</f>
        <v>0</v>
      </c>
      <c r="S391" s="1"/>
      <c r="T391" s="1"/>
      <c r="U391" s="1"/>
      <c r="V391" s="1"/>
      <c r="W391" s="1"/>
      <c r="X391" s="1"/>
      <c r="Y391" s="1"/>
    </row>
    <row r="392" spans="1:25" ht="12.75" customHeight="1" thickBot="1" x14ac:dyDescent="0.25">
      <c r="A392" s="1"/>
      <c r="B392" s="1"/>
      <c r="C392" s="1"/>
      <c r="D392" s="1"/>
      <c r="E392" s="1"/>
      <c r="F392" s="683" t="s">
        <v>307</v>
      </c>
      <c r="G392" s="684">
        <v>2017</v>
      </c>
      <c r="H392" s="685">
        <v>159897</v>
      </c>
      <c r="I392" s="685">
        <v>136649</v>
      </c>
      <c r="J392" s="685">
        <v>19619</v>
      </c>
      <c r="K392" s="685">
        <v>3629</v>
      </c>
      <c r="L392" s="692">
        <f t="shared" ref="L392:L424" si="39">+H392-I392-J392-K392</f>
        <v>0</v>
      </c>
      <c r="M392" s="1"/>
      <c r="N392" s="696">
        <v>159897</v>
      </c>
      <c r="O392" s="696">
        <v>136649</v>
      </c>
      <c r="P392" s="696">
        <v>19619</v>
      </c>
      <c r="Q392" s="696">
        <v>3629</v>
      </c>
      <c r="R392" s="692">
        <f t="shared" ref="R392:R424" si="40">+N392-O392-P392-Q392</f>
        <v>0</v>
      </c>
      <c r="S392" s="1"/>
      <c r="T392" s="1"/>
      <c r="U392" s="1"/>
      <c r="V392" s="1"/>
      <c r="W392" s="1"/>
      <c r="X392" s="1"/>
      <c r="Y392" s="1"/>
    </row>
    <row r="393" spans="1:25" ht="12.75" customHeight="1" thickBot="1" x14ac:dyDescent="0.25">
      <c r="A393" s="1"/>
      <c r="B393" s="1"/>
      <c r="C393" s="1"/>
      <c r="D393" s="1"/>
      <c r="E393" s="1"/>
      <c r="F393" s="683" t="s">
        <v>49</v>
      </c>
      <c r="G393" s="684">
        <v>2018</v>
      </c>
      <c r="H393" s="685">
        <v>78567</v>
      </c>
      <c r="I393" s="685">
        <v>63858</v>
      </c>
      <c r="J393" s="685">
        <v>12648</v>
      </c>
      <c r="K393" s="685">
        <v>2061</v>
      </c>
      <c r="L393" s="692">
        <f t="shared" si="39"/>
        <v>0</v>
      </c>
      <c r="M393" s="1"/>
      <c r="N393" s="696">
        <v>78567</v>
      </c>
      <c r="O393" s="696">
        <v>63858</v>
      </c>
      <c r="P393" s="696">
        <v>12648</v>
      </c>
      <c r="Q393" s="696">
        <v>2061</v>
      </c>
      <c r="R393" s="692">
        <f t="shared" si="40"/>
        <v>0</v>
      </c>
      <c r="S393" s="1"/>
      <c r="T393" s="1"/>
      <c r="U393" s="1"/>
      <c r="V393" s="1"/>
      <c r="W393" s="1"/>
      <c r="X393" s="1"/>
      <c r="Y393" s="1"/>
    </row>
    <row r="394" spans="1:25" ht="12.75" customHeight="1" thickBot="1" x14ac:dyDescent="0.25">
      <c r="A394" s="1"/>
      <c r="B394" s="1"/>
      <c r="C394" s="1"/>
      <c r="D394" s="1"/>
      <c r="E394" s="1"/>
      <c r="F394" s="683" t="s">
        <v>480</v>
      </c>
      <c r="G394" s="684">
        <v>2018</v>
      </c>
      <c r="H394" s="685">
        <v>257745</v>
      </c>
      <c r="I394" s="685">
        <v>211346</v>
      </c>
      <c r="J394" s="685">
        <v>33005</v>
      </c>
      <c r="K394" s="685">
        <v>13394</v>
      </c>
      <c r="L394" s="692">
        <f t="shared" si="39"/>
        <v>0</v>
      </c>
      <c r="M394" s="1"/>
      <c r="N394" s="696">
        <v>257745</v>
      </c>
      <c r="O394" s="696">
        <v>211346</v>
      </c>
      <c r="P394" s="696">
        <v>33005</v>
      </c>
      <c r="Q394" s="696">
        <v>13394</v>
      </c>
      <c r="R394" s="692">
        <f t="shared" si="40"/>
        <v>0</v>
      </c>
      <c r="S394" s="1"/>
      <c r="T394" s="1"/>
      <c r="U394" s="1"/>
      <c r="V394" s="1"/>
      <c r="W394" s="1"/>
      <c r="X394" s="1"/>
      <c r="Y394" s="1"/>
    </row>
    <row r="395" spans="1:25" ht="12.75" customHeight="1" thickBot="1" x14ac:dyDescent="0.25">
      <c r="A395" s="1"/>
      <c r="B395" s="1"/>
      <c r="C395" s="1"/>
      <c r="D395" s="1"/>
      <c r="E395" s="1"/>
      <c r="F395" s="683" t="s">
        <v>60</v>
      </c>
      <c r="G395" s="686">
        <v>2017</v>
      </c>
      <c r="H395" s="685">
        <v>11700</v>
      </c>
      <c r="I395" s="685">
        <v>11700</v>
      </c>
      <c r="J395" s="685">
        <v>0</v>
      </c>
      <c r="K395" s="685">
        <v>0</v>
      </c>
      <c r="L395" s="692">
        <f t="shared" si="39"/>
        <v>0</v>
      </c>
      <c r="M395" s="1"/>
      <c r="N395" s="696">
        <v>11700</v>
      </c>
      <c r="O395" s="696">
        <v>11700</v>
      </c>
      <c r="P395" s="696">
        <v>0</v>
      </c>
      <c r="Q395" s="696">
        <v>0</v>
      </c>
      <c r="R395" s="692">
        <f t="shared" si="40"/>
        <v>0</v>
      </c>
      <c r="S395" s="1"/>
      <c r="T395" s="1"/>
      <c r="U395" s="1"/>
      <c r="V395" s="1"/>
      <c r="W395" s="1"/>
      <c r="X395" s="1"/>
      <c r="Y395" s="1"/>
    </row>
    <row r="396" spans="1:25" ht="12.75" customHeight="1" thickBot="1" x14ac:dyDescent="0.25">
      <c r="A396" s="1"/>
      <c r="B396" s="1"/>
      <c r="C396" s="1"/>
      <c r="D396" s="1"/>
      <c r="E396" s="1"/>
      <c r="F396" s="683" t="s">
        <v>61</v>
      </c>
      <c r="G396" s="686">
        <v>2017</v>
      </c>
      <c r="H396" s="685">
        <v>17494</v>
      </c>
      <c r="I396" s="685">
        <v>17494</v>
      </c>
      <c r="J396" s="685">
        <v>0</v>
      </c>
      <c r="K396" s="685">
        <v>0</v>
      </c>
      <c r="L396" s="692">
        <f t="shared" si="39"/>
        <v>0</v>
      </c>
      <c r="M396" s="1"/>
      <c r="N396" s="696">
        <v>17494</v>
      </c>
      <c r="O396" s="696">
        <v>17494</v>
      </c>
      <c r="P396" s="696">
        <v>0</v>
      </c>
      <c r="Q396" s="696">
        <v>0</v>
      </c>
      <c r="R396" s="692">
        <f t="shared" si="40"/>
        <v>0</v>
      </c>
      <c r="S396" s="1"/>
      <c r="T396" s="1"/>
      <c r="U396" s="1"/>
      <c r="V396" s="1"/>
      <c r="W396" s="1"/>
      <c r="X396" s="1"/>
      <c r="Y396" s="1"/>
    </row>
    <row r="397" spans="1:25" ht="12.75" customHeight="1" thickBot="1" x14ac:dyDescent="0.25">
      <c r="A397" s="1"/>
      <c r="B397" s="1"/>
      <c r="C397" s="1"/>
      <c r="D397" s="1"/>
      <c r="E397" s="1"/>
      <c r="F397" s="683" t="s">
        <v>473</v>
      </c>
      <c r="G397" s="684">
        <v>2017</v>
      </c>
      <c r="H397" s="685">
        <v>5266</v>
      </c>
      <c r="I397" s="685">
        <v>5266</v>
      </c>
      <c r="J397" s="685">
        <v>0</v>
      </c>
      <c r="K397" s="685">
        <v>0</v>
      </c>
      <c r="L397" s="692">
        <f t="shared" si="39"/>
        <v>0</v>
      </c>
      <c r="M397" s="1"/>
      <c r="N397" s="696">
        <v>5266</v>
      </c>
      <c r="O397" s="696">
        <v>5266</v>
      </c>
      <c r="P397" s="696">
        <v>0</v>
      </c>
      <c r="Q397" s="696">
        <v>0</v>
      </c>
      <c r="R397" s="692">
        <f t="shared" si="40"/>
        <v>0</v>
      </c>
      <c r="S397" s="1"/>
      <c r="T397" s="1"/>
      <c r="U397" s="1"/>
      <c r="V397" s="1"/>
      <c r="W397" s="1"/>
      <c r="X397" s="1"/>
      <c r="Y397" s="1"/>
    </row>
    <row r="398" spans="1:25" ht="12.75" customHeight="1" thickBot="1" x14ac:dyDescent="0.25">
      <c r="A398" s="1"/>
      <c r="B398" s="1"/>
      <c r="C398" s="1"/>
      <c r="D398" s="1"/>
      <c r="E398" s="1"/>
      <c r="F398" s="683" t="s">
        <v>292</v>
      </c>
      <c r="G398" s="684">
        <v>2017</v>
      </c>
      <c r="H398" s="685">
        <v>20118</v>
      </c>
      <c r="I398" s="685">
        <v>18540</v>
      </c>
      <c r="J398" s="685">
        <v>1578</v>
      </c>
      <c r="K398" s="685">
        <v>0</v>
      </c>
      <c r="L398" s="692">
        <f t="shared" si="39"/>
        <v>0</v>
      </c>
      <c r="M398" s="1"/>
      <c r="N398" s="696">
        <v>20118</v>
      </c>
      <c r="O398" s="696">
        <v>18540</v>
      </c>
      <c r="P398" s="696">
        <v>1578</v>
      </c>
      <c r="Q398" s="696">
        <v>0</v>
      </c>
      <c r="R398" s="692">
        <f t="shared" si="40"/>
        <v>0</v>
      </c>
      <c r="S398" s="1"/>
      <c r="T398" s="1"/>
      <c r="U398" s="1"/>
      <c r="V398" s="1"/>
      <c r="W398" s="1"/>
      <c r="X398" s="1"/>
      <c r="Y398" s="1"/>
    </row>
    <row r="399" spans="1:25" ht="12.75" customHeight="1" thickBot="1" x14ac:dyDescent="0.25">
      <c r="A399" s="1"/>
      <c r="B399" s="1"/>
      <c r="C399" s="1"/>
      <c r="D399" s="1"/>
      <c r="E399" s="1"/>
      <c r="F399" s="683" t="s">
        <v>64</v>
      </c>
      <c r="G399" s="684">
        <v>2017</v>
      </c>
      <c r="H399" s="685">
        <v>10443</v>
      </c>
      <c r="I399" s="685">
        <v>10443</v>
      </c>
      <c r="J399" s="685">
        <v>0</v>
      </c>
      <c r="K399" s="685">
        <v>0</v>
      </c>
      <c r="L399" s="692">
        <f t="shared" si="39"/>
        <v>0</v>
      </c>
      <c r="M399" s="1"/>
      <c r="N399" s="696">
        <v>10443</v>
      </c>
      <c r="O399" s="696">
        <v>10443</v>
      </c>
      <c r="P399" s="696">
        <v>0</v>
      </c>
      <c r="Q399" s="696">
        <v>0</v>
      </c>
      <c r="R399" s="692">
        <f t="shared" si="40"/>
        <v>0</v>
      </c>
      <c r="S399" s="1"/>
      <c r="T399" s="1"/>
      <c r="U399" s="1"/>
      <c r="V399" s="1"/>
      <c r="W399" s="1"/>
      <c r="X399" s="1"/>
      <c r="Y399" s="1"/>
    </row>
    <row r="400" spans="1:25" ht="12.75" customHeight="1" thickBot="1" x14ac:dyDescent="0.25">
      <c r="A400" s="1"/>
      <c r="B400" s="1"/>
      <c r="C400" s="1"/>
      <c r="D400" s="1"/>
      <c r="E400" s="1"/>
      <c r="F400" s="683" t="s">
        <v>63</v>
      </c>
      <c r="G400" s="684">
        <v>2017</v>
      </c>
      <c r="H400" s="685">
        <v>36836</v>
      </c>
      <c r="I400" s="685">
        <v>36836</v>
      </c>
      <c r="J400" s="685">
        <v>0</v>
      </c>
      <c r="K400" s="685">
        <v>0</v>
      </c>
      <c r="L400" s="692">
        <f t="shared" si="39"/>
        <v>0</v>
      </c>
      <c r="M400" s="1"/>
      <c r="N400" s="696">
        <v>36836</v>
      </c>
      <c r="O400" s="696">
        <v>36836</v>
      </c>
      <c r="P400" s="696">
        <v>0</v>
      </c>
      <c r="Q400" s="696">
        <v>0</v>
      </c>
      <c r="R400" s="692">
        <f t="shared" si="40"/>
        <v>0</v>
      </c>
      <c r="S400" s="1"/>
      <c r="T400" s="1"/>
      <c r="U400" s="1"/>
      <c r="V400" s="1"/>
      <c r="W400" s="1"/>
      <c r="X400" s="1"/>
      <c r="Y400" s="1"/>
    </row>
    <row r="401" spans="1:25" ht="12.75" customHeight="1" thickBot="1" x14ac:dyDescent="0.25">
      <c r="A401" s="1"/>
      <c r="B401" s="1"/>
      <c r="C401" s="1"/>
      <c r="D401" s="1"/>
      <c r="E401" s="1"/>
      <c r="F401" s="683" t="s">
        <v>55</v>
      </c>
      <c r="G401" s="684">
        <v>2018</v>
      </c>
      <c r="H401" s="685">
        <v>33218</v>
      </c>
      <c r="I401" s="685">
        <v>29897</v>
      </c>
      <c r="J401" s="685">
        <v>3321</v>
      </c>
      <c r="K401" s="685">
        <v>0</v>
      </c>
      <c r="L401" s="692">
        <f t="shared" si="39"/>
        <v>0</v>
      </c>
      <c r="M401" s="1"/>
      <c r="N401" s="696">
        <v>33218</v>
      </c>
      <c r="O401" s="696">
        <v>29897</v>
      </c>
      <c r="P401" s="696">
        <v>3321</v>
      </c>
      <c r="Q401" s="696">
        <v>0</v>
      </c>
      <c r="R401" s="692">
        <f t="shared" si="40"/>
        <v>0</v>
      </c>
      <c r="S401" s="1"/>
      <c r="T401" s="1"/>
      <c r="U401" s="1"/>
      <c r="V401" s="1"/>
      <c r="W401" s="1"/>
      <c r="X401" s="1"/>
      <c r="Y401" s="1"/>
    </row>
    <row r="402" spans="1:25" ht="12.75" customHeight="1" thickBot="1" x14ac:dyDescent="0.25">
      <c r="A402" s="1"/>
      <c r="B402" s="1"/>
      <c r="C402" s="1"/>
      <c r="D402" s="1"/>
      <c r="E402" s="1"/>
      <c r="F402" s="683" t="s">
        <v>54</v>
      </c>
      <c r="G402" s="684">
        <v>2018</v>
      </c>
      <c r="H402" s="685">
        <v>64991</v>
      </c>
      <c r="I402" s="685">
        <v>58492</v>
      </c>
      <c r="J402" s="685">
        <v>6499</v>
      </c>
      <c r="K402" s="685">
        <v>0</v>
      </c>
      <c r="L402" s="692">
        <f t="shared" si="39"/>
        <v>0</v>
      </c>
      <c r="M402" s="1"/>
      <c r="N402" s="696">
        <v>64991</v>
      </c>
      <c r="O402" s="696">
        <v>58492</v>
      </c>
      <c r="P402" s="696">
        <v>6499</v>
      </c>
      <c r="Q402" s="696">
        <v>0</v>
      </c>
      <c r="R402" s="692">
        <f t="shared" si="40"/>
        <v>0</v>
      </c>
      <c r="S402" s="1"/>
      <c r="T402" s="1"/>
      <c r="U402" s="1"/>
      <c r="V402" s="1"/>
      <c r="W402" s="1"/>
      <c r="X402" s="1"/>
      <c r="Y402" s="1"/>
    </row>
    <row r="403" spans="1:25" ht="12.75" customHeight="1" thickBot="1" x14ac:dyDescent="0.25">
      <c r="A403" s="1"/>
      <c r="B403" s="1"/>
      <c r="C403" s="1"/>
      <c r="D403" s="1"/>
      <c r="E403" s="1"/>
      <c r="F403" s="683" t="s">
        <v>293</v>
      </c>
      <c r="G403" s="684">
        <v>2018</v>
      </c>
      <c r="H403" s="685">
        <v>56608</v>
      </c>
      <c r="I403" s="685">
        <v>44963</v>
      </c>
      <c r="J403" s="685">
        <v>7655</v>
      </c>
      <c r="K403" s="685">
        <v>3990</v>
      </c>
      <c r="L403" s="692">
        <f t="shared" si="39"/>
        <v>0</v>
      </c>
      <c r="M403" s="1"/>
      <c r="N403" s="696">
        <v>56608</v>
      </c>
      <c r="O403" s="696">
        <v>44963</v>
      </c>
      <c r="P403" s="696">
        <v>7655</v>
      </c>
      <c r="Q403" s="696">
        <v>3990</v>
      </c>
      <c r="R403" s="692">
        <f t="shared" si="40"/>
        <v>0</v>
      </c>
      <c r="S403" s="1"/>
      <c r="T403" s="1"/>
      <c r="U403" s="1"/>
      <c r="V403" s="1"/>
      <c r="W403" s="1"/>
      <c r="X403" s="1"/>
      <c r="Y403" s="1"/>
    </row>
    <row r="404" spans="1:25" ht="12.75" customHeight="1" thickBot="1" x14ac:dyDescent="0.25">
      <c r="A404" s="1"/>
      <c r="B404" s="1"/>
      <c r="C404" s="1"/>
      <c r="D404" s="1"/>
      <c r="E404" s="1"/>
      <c r="F404" s="683" t="s">
        <v>53</v>
      </c>
      <c r="G404" s="684">
        <v>2018</v>
      </c>
      <c r="H404" s="685">
        <v>64421</v>
      </c>
      <c r="I404" s="685">
        <v>60564</v>
      </c>
      <c r="J404" s="685">
        <v>3857</v>
      </c>
      <c r="K404" s="685">
        <v>0</v>
      </c>
      <c r="L404" s="692">
        <f t="shared" si="39"/>
        <v>0</v>
      </c>
      <c r="M404" s="1"/>
      <c r="N404" s="696">
        <v>64421</v>
      </c>
      <c r="O404" s="696">
        <v>60564</v>
      </c>
      <c r="P404" s="696">
        <v>3857</v>
      </c>
      <c r="Q404" s="696">
        <v>0</v>
      </c>
      <c r="R404" s="692">
        <f t="shared" si="40"/>
        <v>0</v>
      </c>
      <c r="S404" s="1"/>
      <c r="T404" s="1"/>
      <c r="U404" s="1"/>
      <c r="V404" s="1"/>
      <c r="W404" s="1"/>
      <c r="X404" s="1"/>
      <c r="Y404" s="1"/>
    </row>
    <row r="405" spans="1:25" ht="12.75" customHeight="1" thickBot="1" x14ac:dyDescent="0.25">
      <c r="A405" s="1"/>
      <c r="B405" s="1"/>
      <c r="C405" s="1"/>
      <c r="D405" s="1"/>
      <c r="E405" s="1"/>
      <c r="F405" s="683" t="s">
        <v>52</v>
      </c>
      <c r="G405" s="684">
        <v>2018</v>
      </c>
      <c r="H405" s="685">
        <v>20000</v>
      </c>
      <c r="I405" s="685">
        <v>18000</v>
      </c>
      <c r="J405" s="685">
        <v>2000</v>
      </c>
      <c r="K405" s="685">
        <v>0</v>
      </c>
      <c r="L405" s="692">
        <f t="shared" si="39"/>
        <v>0</v>
      </c>
      <c r="M405" s="1"/>
      <c r="N405" s="696">
        <v>20000</v>
      </c>
      <c r="O405" s="696">
        <v>18000</v>
      </c>
      <c r="P405" s="696">
        <v>2000</v>
      </c>
      <c r="Q405" s="696">
        <v>0</v>
      </c>
      <c r="R405" s="692">
        <f t="shared" si="40"/>
        <v>0</v>
      </c>
      <c r="S405" s="1"/>
      <c r="T405" s="1"/>
      <c r="U405" s="1"/>
      <c r="V405" s="1"/>
      <c r="W405" s="1"/>
      <c r="X405" s="1"/>
      <c r="Y405" s="1"/>
    </row>
    <row r="406" spans="1:25" ht="12.75" customHeight="1" thickBot="1" x14ac:dyDescent="0.25">
      <c r="A406" s="1"/>
      <c r="B406" s="1"/>
      <c r="C406" s="1"/>
      <c r="D406" s="1"/>
      <c r="E406" s="1"/>
      <c r="F406" s="683" t="s">
        <v>66</v>
      </c>
      <c r="G406" s="684">
        <v>2019</v>
      </c>
      <c r="H406" s="685">
        <v>606410</v>
      </c>
      <c r="I406" s="685">
        <v>412244</v>
      </c>
      <c r="J406" s="685">
        <v>126513</v>
      </c>
      <c r="K406" s="685">
        <v>67653</v>
      </c>
      <c r="L406" s="692">
        <f t="shared" si="39"/>
        <v>0</v>
      </c>
      <c r="M406" s="1"/>
      <c r="N406" s="696">
        <v>56608</v>
      </c>
      <c r="O406" s="696">
        <v>44963</v>
      </c>
      <c r="P406" s="696">
        <v>7655</v>
      </c>
      <c r="Q406" s="696">
        <v>3990</v>
      </c>
      <c r="R406" s="692">
        <f t="shared" si="40"/>
        <v>0</v>
      </c>
      <c r="S406" s="1"/>
      <c r="T406" s="1"/>
      <c r="U406" s="1"/>
      <c r="V406" s="1"/>
      <c r="W406" s="1"/>
      <c r="X406" s="1"/>
      <c r="Y406" s="1"/>
    </row>
    <row r="407" spans="1:25" ht="12.75" customHeight="1" thickBot="1" x14ac:dyDescent="0.25">
      <c r="A407" s="1"/>
      <c r="B407" s="1"/>
      <c r="C407" s="1"/>
      <c r="D407" s="1"/>
      <c r="E407" s="1"/>
      <c r="F407" s="683" t="s">
        <v>67</v>
      </c>
      <c r="G407" s="684">
        <v>2019</v>
      </c>
      <c r="H407" s="685">
        <v>39376</v>
      </c>
      <c r="I407" s="685">
        <v>32958</v>
      </c>
      <c r="J407" s="685">
        <v>5562</v>
      </c>
      <c r="K407" s="685">
        <v>856</v>
      </c>
      <c r="L407" s="692">
        <f t="shared" si="39"/>
        <v>0</v>
      </c>
      <c r="M407" s="1"/>
      <c r="N407" s="696">
        <v>64421</v>
      </c>
      <c r="O407" s="696">
        <v>60564</v>
      </c>
      <c r="P407" s="696">
        <v>3857</v>
      </c>
      <c r="Q407" s="696">
        <v>0</v>
      </c>
      <c r="R407" s="692">
        <f t="shared" si="40"/>
        <v>0</v>
      </c>
      <c r="S407" s="1"/>
      <c r="T407" s="1"/>
      <c r="U407" s="1"/>
      <c r="V407" s="1"/>
      <c r="W407" s="1"/>
      <c r="X407" s="1"/>
      <c r="Y407" s="1"/>
    </row>
    <row r="408" spans="1:25" ht="12.75" customHeight="1" thickBot="1" x14ac:dyDescent="0.25">
      <c r="A408" s="1"/>
      <c r="B408" s="1"/>
      <c r="C408" s="1"/>
      <c r="D408" s="1"/>
      <c r="E408" s="1"/>
      <c r="F408" s="683" t="s">
        <v>68</v>
      </c>
      <c r="G408" s="684">
        <v>2019</v>
      </c>
      <c r="H408" s="685">
        <v>37741</v>
      </c>
      <c r="I408" s="685">
        <v>31124</v>
      </c>
      <c r="J408" s="685">
        <v>5235</v>
      </c>
      <c r="K408" s="685">
        <v>1382</v>
      </c>
      <c r="L408" s="692">
        <f t="shared" si="39"/>
        <v>0</v>
      </c>
      <c r="M408" s="1"/>
      <c r="N408" s="696">
        <v>20000</v>
      </c>
      <c r="O408" s="696">
        <v>18000</v>
      </c>
      <c r="P408" s="696">
        <v>2000</v>
      </c>
      <c r="Q408" s="696">
        <v>0</v>
      </c>
      <c r="R408" s="692">
        <f t="shared" si="40"/>
        <v>0</v>
      </c>
      <c r="S408" s="1"/>
      <c r="T408" s="1"/>
      <c r="U408" s="1"/>
      <c r="V408" s="1"/>
      <c r="W408" s="1"/>
      <c r="X408" s="1"/>
      <c r="Y408" s="1"/>
    </row>
    <row r="409" spans="1:25" ht="12.75" customHeight="1" thickBot="1" x14ac:dyDescent="0.25">
      <c r="A409" s="1"/>
      <c r="B409" s="1"/>
      <c r="C409" s="1"/>
      <c r="D409" s="1"/>
      <c r="E409" s="1"/>
      <c r="F409" s="683" t="s">
        <v>69</v>
      </c>
      <c r="G409" s="684">
        <v>2019</v>
      </c>
      <c r="H409" s="685">
        <v>30836</v>
      </c>
      <c r="I409" s="685">
        <v>26981</v>
      </c>
      <c r="J409" s="685">
        <v>3854</v>
      </c>
      <c r="K409" s="685">
        <v>0</v>
      </c>
      <c r="L409" s="692">
        <f t="shared" si="39"/>
        <v>1</v>
      </c>
      <c r="M409" s="1"/>
      <c r="N409" s="696">
        <v>56608</v>
      </c>
      <c r="O409" s="696">
        <v>44963</v>
      </c>
      <c r="P409" s="696">
        <v>7655</v>
      </c>
      <c r="Q409" s="696">
        <v>3990</v>
      </c>
      <c r="R409" s="692">
        <f t="shared" si="40"/>
        <v>0</v>
      </c>
      <c r="S409" s="1"/>
      <c r="T409" s="1"/>
      <c r="U409" s="1"/>
      <c r="V409" s="1"/>
      <c r="W409" s="1"/>
      <c r="X409" s="1"/>
      <c r="Y409" s="1"/>
    </row>
    <row r="410" spans="1:25" ht="12.75" customHeight="1" thickBot="1" x14ac:dyDescent="0.25">
      <c r="A410" s="1"/>
      <c r="B410" s="1"/>
      <c r="C410" s="1"/>
      <c r="D410" s="1"/>
      <c r="E410" s="1"/>
      <c r="F410" s="683" t="s">
        <v>485</v>
      </c>
      <c r="G410" s="684">
        <v>2019</v>
      </c>
      <c r="H410" s="685">
        <v>61671</v>
      </c>
      <c r="I410" s="685">
        <v>53962</v>
      </c>
      <c r="J410" s="685">
        <v>7709</v>
      </c>
      <c r="K410" s="685">
        <v>0</v>
      </c>
      <c r="L410" s="692">
        <f t="shared" si="39"/>
        <v>0</v>
      </c>
      <c r="M410" s="1"/>
      <c r="N410" s="696">
        <v>64421</v>
      </c>
      <c r="O410" s="696">
        <v>60564</v>
      </c>
      <c r="P410" s="696">
        <v>3857</v>
      </c>
      <c r="Q410" s="696">
        <v>0</v>
      </c>
      <c r="R410" s="692">
        <f t="shared" si="40"/>
        <v>0</v>
      </c>
      <c r="S410" s="1"/>
      <c r="T410" s="1"/>
      <c r="U410" s="1"/>
      <c r="V410" s="1"/>
      <c r="W410" s="1"/>
      <c r="X410" s="1"/>
      <c r="Y410" s="1"/>
    </row>
    <row r="411" spans="1:25" ht="12.75" customHeight="1" thickBot="1" x14ac:dyDescent="0.25">
      <c r="A411" s="1"/>
      <c r="B411" s="1"/>
      <c r="C411" s="1"/>
      <c r="D411" s="1"/>
      <c r="E411" s="1"/>
      <c r="F411" s="683" t="s">
        <v>71</v>
      </c>
      <c r="G411" s="684">
        <v>2019</v>
      </c>
      <c r="H411" s="685">
        <v>16042</v>
      </c>
      <c r="I411" s="685">
        <v>10504</v>
      </c>
      <c r="J411" s="685">
        <v>3208</v>
      </c>
      <c r="K411" s="685">
        <v>2330</v>
      </c>
      <c r="L411" s="692">
        <f t="shared" si="39"/>
        <v>0</v>
      </c>
      <c r="M411" s="1"/>
      <c r="N411" s="696">
        <v>20000</v>
      </c>
      <c r="O411" s="696">
        <v>18000</v>
      </c>
      <c r="P411" s="696">
        <v>2000</v>
      </c>
      <c r="Q411" s="696">
        <v>0</v>
      </c>
      <c r="R411" s="692">
        <f t="shared" si="40"/>
        <v>0</v>
      </c>
      <c r="S411" s="1"/>
      <c r="T411" s="1"/>
      <c r="U411" s="1"/>
      <c r="V411" s="1"/>
      <c r="W411" s="1"/>
      <c r="X411" s="1"/>
      <c r="Y411" s="1"/>
    </row>
    <row r="412" spans="1:25" ht="12.75" customHeight="1" thickBot="1" x14ac:dyDescent="0.25">
      <c r="A412" s="1"/>
      <c r="B412" s="1"/>
      <c r="C412" s="1"/>
      <c r="D412" s="1"/>
      <c r="E412" s="1"/>
      <c r="F412" s="683" t="s">
        <v>72</v>
      </c>
      <c r="G412" s="684">
        <v>2019</v>
      </c>
      <c r="H412" s="685">
        <v>14640</v>
      </c>
      <c r="I412" s="685">
        <v>10248</v>
      </c>
      <c r="J412" s="685">
        <v>2928</v>
      </c>
      <c r="K412" s="685">
        <v>1464</v>
      </c>
      <c r="L412" s="692">
        <f t="shared" si="39"/>
        <v>0</v>
      </c>
      <c r="M412" s="1"/>
      <c r="N412" s="696">
        <v>56608</v>
      </c>
      <c r="O412" s="696">
        <v>44963</v>
      </c>
      <c r="P412" s="696">
        <v>7655</v>
      </c>
      <c r="Q412" s="696">
        <v>3990</v>
      </c>
      <c r="R412" s="692">
        <f t="shared" si="40"/>
        <v>0</v>
      </c>
      <c r="S412" s="1"/>
      <c r="T412" s="1"/>
      <c r="U412" s="1"/>
      <c r="V412" s="1"/>
      <c r="W412" s="1"/>
      <c r="X412" s="1"/>
      <c r="Y412" s="1"/>
    </row>
    <row r="413" spans="1:25" ht="12.75" customHeight="1" thickBot="1" x14ac:dyDescent="0.25">
      <c r="A413" s="1"/>
      <c r="B413" s="1"/>
      <c r="C413" s="1"/>
      <c r="D413" s="1"/>
      <c r="E413" s="1"/>
      <c r="F413" s="683" t="s">
        <v>74</v>
      </c>
      <c r="G413" s="684">
        <v>2019</v>
      </c>
      <c r="H413" s="685">
        <v>11586</v>
      </c>
      <c r="I413" s="685">
        <v>8109</v>
      </c>
      <c r="J413" s="685">
        <v>2317</v>
      </c>
      <c r="K413" s="685">
        <v>1160</v>
      </c>
      <c r="L413" s="692">
        <f t="shared" si="39"/>
        <v>0</v>
      </c>
      <c r="M413" s="1"/>
      <c r="N413" s="696">
        <v>64421</v>
      </c>
      <c r="O413" s="696">
        <v>60564</v>
      </c>
      <c r="P413" s="696">
        <v>3857</v>
      </c>
      <c r="Q413" s="696">
        <v>0</v>
      </c>
      <c r="R413" s="692">
        <f t="shared" si="40"/>
        <v>0</v>
      </c>
      <c r="S413" s="1"/>
      <c r="T413" s="1"/>
      <c r="U413" s="1"/>
      <c r="V413" s="1"/>
      <c r="W413" s="1"/>
      <c r="X413" s="1"/>
      <c r="Y413" s="1"/>
    </row>
    <row r="414" spans="1:25" ht="12.75" customHeight="1" thickBot="1" x14ac:dyDescent="0.25">
      <c r="A414" s="1"/>
      <c r="B414" s="1"/>
      <c r="C414" s="1"/>
      <c r="D414" s="1"/>
      <c r="E414" s="1"/>
      <c r="F414" s="683" t="s">
        <v>75</v>
      </c>
      <c r="G414" s="684">
        <v>2019</v>
      </c>
      <c r="H414" s="685">
        <v>21313</v>
      </c>
      <c r="I414" s="685">
        <v>14919</v>
      </c>
      <c r="J414" s="685">
        <v>4263</v>
      </c>
      <c r="K414" s="685">
        <v>2131</v>
      </c>
      <c r="L414" s="692">
        <f t="shared" si="39"/>
        <v>0</v>
      </c>
      <c r="M414" s="1"/>
      <c r="N414" s="696">
        <v>21313</v>
      </c>
      <c r="O414" s="696">
        <v>14919</v>
      </c>
      <c r="P414" s="696">
        <v>4263</v>
      </c>
      <c r="Q414" s="696">
        <v>2131</v>
      </c>
      <c r="R414" s="692">
        <f t="shared" si="40"/>
        <v>0</v>
      </c>
      <c r="S414" s="1"/>
      <c r="T414" s="1"/>
      <c r="U414" s="1"/>
      <c r="V414" s="1"/>
      <c r="W414" s="1"/>
      <c r="X414" s="1"/>
      <c r="Y414" s="1"/>
    </row>
    <row r="415" spans="1:25" ht="12.75" customHeight="1" thickBot="1" x14ac:dyDescent="0.25">
      <c r="A415" s="1"/>
      <c r="B415" s="1"/>
      <c r="C415" s="1"/>
      <c r="D415" s="1"/>
      <c r="E415" s="1"/>
      <c r="F415" s="683" t="s">
        <v>657</v>
      </c>
      <c r="G415" s="684">
        <v>2020</v>
      </c>
      <c r="H415" s="685">
        <v>80061</v>
      </c>
      <c r="I415" s="685">
        <v>52537</v>
      </c>
      <c r="J415" s="685">
        <v>16138</v>
      </c>
      <c r="K415" s="685">
        <v>11386</v>
      </c>
      <c r="L415" s="692">
        <f t="shared" si="39"/>
        <v>0</v>
      </c>
      <c r="M415" s="1"/>
      <c r="N415" s="696">
        <v>80061</v>
      </c>
      <c r="O415" s="696">
        <v>52537</v>
      </c>
      <c r="P415" s="696">
        <v>16138</v>
      </c>
      <c r="Q415" s="696">
        <v>11386</v>
      </c>
      <c r="R415" s="692">
        <f t="shared" si="40"/>
        <v>0</v>
      </c>
      <c r="S415" s="1"/>
      <c r="T415" s="1"/>
      <c r="U415" s="1"/>
      <c r="V415" s="1"/>
      <c r="W415" s="1"/>
      <c r="X415" s="1"/>
      <c r="Y415" s="1"/>
    </row>
    <row r="416" spans="1:25" ht="12.75" customHeight="1" thickBot="1" x14ac:dyDescent="0.25">
      <c r="A416" s="1"/>
      <c r="B416" s="1"/>
      <c r="C416" s="1"/>
      <c r="D416" s="1"/>
      <c r="E416" s="1"/>
      <c r="F416" s="683" t="s">
        <v>45</v>
      </c>
      <c r="G416" s="684">
        <v>2020</v>
      </c>
      <c r="H416" s="685">
        <v>83391</v>
      </c>
      <c r="I416" s="685">
        <v>33097</v>
      </c>
      <c r="J416" s="685">
        <v>19036</v>
      </c>
      <c r="K416" s="685">
        <v>31258</v>
      </c>
      <c r="L416" s="692">
        <f t="shared" si="39"/>
        <v>0</v>
      </c>
      <c r="M416" s="1"/>
      <c r="N416" s="696">
        <v>83391</v>
      </c>
      <c r="O416" s="696">
        <v>33097</v>
      </c>
      <c r="P416" s="696">
        <v>19036</v>
      </c>
      <c r="Q416" s="696">
        <v>31258</v>
      </c>
      <c r="R416" s="692">
        <f t="shared" si="40"/>
        <v>0</v>
      </c>
      <c r="S416" s="1"/>
      <c r="T416" s="1"/>
      <c r="U416" s="1"/>
      <c r="V416" s="1"/>
      <c r="W416" s="1"/>
      <c r="X416" s="1"/>
      <c r="Y416" s="1"/>
    </row>
    <row r="417" spans="1:25" ht="12.75" customHeight="1" thickBot="1" x14ac:dyDescent="0.25">
      <c r="A417" s="1"/>
      <c r="B417" s="1"/>
      <c r="C417" s="1"/>
      <c r="D417" s="1"/>
      <c r="E417" s="1"/>
      <c r="F417" s="683" t="s">
        <v>46</v>
      </c>
      <c r="G417" s="684">
        <v>2020</v>
      </c>
      <c r="H417" s="685">
        <v>104990</v>
      </c>
      <c r="I417" s="685">
        <v>46115</v>
      </c>
      <c r="J417" s="685">
        <v>23247</v>
      </c>
      <c r="K417" s="685">
        <v>35628</v>
      </c>
      <c r="L417" s="692">
        <f t="shared" si="39"/>
        <v>0</v>
      </c>
      <c r="M417" s="1"/>
      <c r="N417" s="696">
        <v>104990</v>
      </c>
      <c r="O417" s="696">
        <v>46115</v>
      </c>
      <c r="P417" s="696">
        <v>23247</v>
      </c>
      <c r="Q417" s="696">
        <v>35628</v>
      </c>
      <c r="R417" s="692">
        <f t="shared" si="40"/>
        <v>0</v>
      </c>
      <c r="S417" s="1"/>
      <c r="T417" s="1"/>
      <c r="U417" s="1"/>
      <c r="V417" s="1"/>
      <c r="W417" s="1"/>
      <c r="X417" s="1"/>
      <c r="Y417" s="1"/>
    </row>
    <row r="418" spans="1:25" ht="12.75" customHeight="1" thickBot="1" x14ac:dyDescent="0.25">
      <c r="A418" s="1"/>
      <c r="B418" s="1"/>
      <c r="C418" s="1"/>
      <c r="D418" s="1"/>
      <c r="E418" s="1"/>
      <c r="F418" s="683" t="s">
        <v>41</v>
      </c>
      <c r="G418" s="684">
        <v>2021</v>
      </c>
      <c r="H418" s="685">
        <v>485045</v>
      </c>
      <c r="I418" s="685">
        <v>132706</v>
      </c>
      <c r="J418" s="685">
        <v>100668</v>
      </c>
      <c r="K418" s="685">
        <v>251671</v>
      </c>
      <c r="L418" s="692">
        <f t="shared" si="39"/>
        <v>0</v>
      </c>
      <c r="M418" s="1"/>
      <c r="N418" s="696">
        <v>485045</v>
      </c>
      <c r="O418" s="696">
        <v>132706</v>
      </c>
      <c r="P418" s="696">
        <v>100668</v>
      </c>
      <c r="Q418" s="696">
        <v>251671</v>
      </c>
      <c r="R418" s="692">
        <f t="shared" si="40"/>
        <v>0</v>
      </c>
      <c r="S418" s="1"/>
      <c r="T418" s="1"/>
      <c r="U418" s="1"/>
      <c r="V418" s="1"/>
      <c r="W418" s="1"/>
      <c r="X418" s="1"/>
      <c r="Y418" s="1"/>
    </row>
    <row r="419" spans="1:25" ht="12.75" customHeight="1" thickBot="1" x14ac:dyDescent="0.25">
      <c r="A419" s="1"/>
      <c r="B419" s="1"/>
      <c r="C419" s="1"/>
      <c r="D419" s="1"/>
      <c r="E419" s="1"/>
      <c r="F419" s="683" t="s">
        <v>753</v>
      </c>
      <c r="G419" s="684">
        <v>2021</v>
      </c>
      <c r="H419" s="685">
        <v>19649</v>
      </c>
      <c r="I419" s="685">
        <v>7368</v>
      </c>
      <c r="J419" s="685">
        <v>4912</v>
      </c>
      <c r="K419" s="685">
        <v>7369</v>
      </c>
      <c r="L419" s="692">
        <f t="shared" si="39"/>
        <v>0</v>
      </c>
      <c r="M419" s="1"/>
      <c r="N419" s="696">
        <v>19649</v>
      </c>
      <c r="O419" s="696">
        <v>7368</v>
      </c>
      <c r="P419" s="696">
        <v>4912</v>
      </c>
      <c r="Q419" s="696">
        <v>7369</v>
      </c>
      <c r="R419" s="692">
        <f t="shared" si="40"/>
        <v>0</v>
      </c>
      <c r="S419" s="1"/>
      <c r="T419" s="1"/>
      <c r="U419" s="1"/>
      <c r="V419" s="1"/>
      <c r="W419" s="1"/>
      <c r="X419" s="1"/>
      <c r="Y419" s="1"/>
    </row>
    <row r="420" spans="1:25" ht="12.75" customHeight="1" thickBot="1" x14ac:dyDescent="0.25">
      <c r="A420" s="1"/>
      <c r="B420" s="1"/>
      <c r="C420" s="1"/>
      <c r="D420" s="1"/>
      <c r="E420" s="1"/>
      <c r="F420" s="683" t="s">
        <v>603</v>
      </c>
      <c r="G420" s="684">
        <v>2021</v>
      </c>
      <c r="H420" s="685">
        <v>26382</v>
      </c>
      <c r="I420" s="685">
        <v>7914</v>
      </c>
      <c r="J420" s="685">
        <v>5276</v>
      </c>
      <c r="K420" s="685">
        <v>13192</v>
      </c>
      <c r="L420" s="692">
        <f t="shared" si="39"/>
        <v>0</v>
      </c>
      <c r="M420" s="1"/>
      <c r="N420" s="696">
        <v>26382</v>
      </c>
      <c r="O420" s="696">
        <v>7914</v>
      </c>
      <c r="P420" s="696">
        <v>5276</v>
      </c>
      <c r="Q420" s="696">
        <v>13192</v>
      </c>
      <c r="R420" s="692">
        <f t="shared" si="40"/>
        <v>0</v>
      </c>
      <c r="S420" s="1"/>
      <c r="T420" s="1"/>
      <c r="U420" s="1"/>
      <c r="V420" s="1"/>
      <c r="W420" s="1"/>
      <c r="X420" s="1"/>
      <c r="Y420" s="1"/>
    </row>
    <row r="421" spans="1:25" ht="12.75" customHeight="1" thickBot="1" x14ac:dyDescent="0.25">
      <c r="A421" s="1"/>
      <c r="B421" s="1"/>
      <c r="C421" s="1"/>
      <c r="D421" s="1"/>
      <c r="E421" s="1"/>
      <c r="F421" s="683" t="s">
        <v>710</v>
      </c>
      <c r="G421" s="684">
        <v>2021</v>
      </c>
      <c r="H421" s="685">
        <v>39584</v>
      </c>
      <c r="I421" s="685">
        <v>9029</v>
      </c>
      <c r="J421" s="685">
        <v>8730</v>
      </c>
      <c r="K421" s="685">
        <v>21825</v>
      </c>
      <c r="L421" s="692">
        <f t="shared" si="39"/>
        <v>0</v>
      </c>
      <c r="M421" s="1"/>
      <c r="N421" s="696">
        <v>39584</v>
      </c>
      <c r="O421" s="696">
        <v>9029</v>
      </c>
      <c r="P421" s="696">
        <v>8730</v>
      </c>
      <c r="Q421" s="696">
        <v>21825</v>
      </c>
      <c r="R421" s="692">
        <f t="shared" si="40"/>
        <v>0</v>
      </c>
      <c r="S421" s="1"/>
      <c r="T421" s="1"/>
      <c r="U421" s="1"/>
      <c r="V421" s="1"/>
      <c r="W421" s="1"/>
      <c r="X421" s="1"/>
      <c r="Y421" s="1"/>
    </row>
    <row r="422" spans="1:25" ht="12.75" customHeight="1" thickBot="1" x14ac:dyDescent="0.25">
      <c r="A422" s="1"/>
      <c r="B422" s="1"/>
      <c r="C422" s="1"/>
      <c r="D422" s="1"/>
      <c r="E422" s="1"/>
      <c r="F422" s="683" t="s">
        <v>47</v>
      </c>
      <c r="G422" s="687">
        <v>2022</v>
      </c>
      <c r="H422" s="688">
        <v>14518</v>
      </c>
      <c r="I422" s="685">
        <v>1452</v>
      </c>
      <c r="J422" s="685">
        <v>2904</v>
      </c>
      <c r="K422" s="685">
        <v>10162</v>
      </c>
      <c r="L422" s="692">
        <f t="shared" si="39"/>
        <v>0</v>
      </c>
      <c r="M422" s="1"/>
      <c r="N422" s="697">
        <v>14518</v>
      </c>
      <c r="O422" s="696">
        <v>1452</v>
      </c>
      <c r="P422" s="696">
        <v>2904</v>
      </c>
      <c r="Q422" s="696">
        <v>10162</v>
      </c>
      <c r="R422" s="692">
        <f t="shared" si="40"/>
        <v>0</v>
      </c>
      <c r="S422" s="1"/>
      <c r="T422" s="1"/>
      <c r="U422" s="1"/>
      <c r="V422" s="1"/>
      <c r="W422" s="1"/>
      <c r="X422" s="1"/>
      <c r="Y422" s="1"/>
    </row>
    <row r="423" spans="1:25" ht="12.75" customHeight="1" thickBot="1" x14ac:dyDescent="0.25">
      <c r="A423" s="1"/>
      <c r="B423" s="1"/>
      <c r="C423" s="1"/>
      <c r="D423" s="1"/>
      <c r="E423" s="1"/>
      <c r="F423" s="683" t="s">
        <v>755</v>
      </c>
      <c r="G423" s="687">
        <v>2023</v>
      </c>
      <c r="H423" s="688">
        <v>9526</v>
      </c>
      <c r="I423" s="685">
        <v>0</v>
      </c>
      <c r="J423" s="685">
        <v>953</v>
      </c>
      <c r="K423" s="685">
        <v>8573</v>
      </c>
      <c r="L423" s="692">
        <f t="shared" si="39"/>
        <v>0</v>
      </c>
      <c r="M423" s="1"/>
      <c r="N423" s="697">
        <v>9526</v>
      </c>
      <c r="O423" s="696">
        <v>0</v>
      </c>
      <c r="P423" s="696">
        <v>953</v>
      </c>
      <c r="Q423" s="696">
        <v>8573</v>
      </c>
      <c r="R423" s="692">
        <f t="shared" si="40"/>
        <v>0</v>
      </c>
      <c r="S423" s="1"/>
      <c r="T423" s="1"/>
      <c r="U423" s="1"/>
      <c r="V423" s="1"/>
      <c r="W423" s="1"/>
      <c r="X423" s="1"/>
      <c r="Y423" s="1"/>
    </row>
    <row r="424" spans="1:25" ht="12.75" customHeight="1" thickBot="1" x14ac:dyDescent="0.25">
      <c r="A424" s="1"/>
      <c r="B424" s="1"/>
      <c r="C424" s="1"/>
      <c r="D424" s="1"/>
      <c r="E424" s="1"/>
      <c r="F424" s="683" t="s">
        <v>977</v>
      </c>
      <c r="G424" s="687">
        <v>2022</v>
      </c>
      <c r="H424" s="688">
        <v>24186</v>
      </c>
      <c r="I424" s="685">
        <v>0</v>
      </c>
      <c r="J424" s="685">
        <v>2435</v>
      </c>
      <c r="K424" s="685">
        <v>21751</v>
      </c>
      <c r="L424" s="692">
        <f t="shared" si="39"/>
        <v>0</v>
      </c>
      <c r="M424" s="1"/>
      <c r="N424" s="697">
        <v>24186</v>
      </c>
      <c r="O424" s="696">
        <v>0</v>
      </c>
      <c r="P424" s="696">
        <v>2435</v>
      </c>
      <c r="Q424" s="696">
        <v>21751</v>
      </c>
      <c r="R424" s="692">
        <f t="shared" si="40"/>
        <v>0</v>
      </c>
      <c r="S424" s="1"/>
      <c r="T424" s="1"/>
      <c r="U424" s="1"/>
      <c r="V424" s="1"/>
      <c r="W424" s="1"/>
      <c r="X424" s="1"/>
      <c r="Y424" s="1"/>
    </row>
    <row r="425" spans="1:25" ht="12.75" customHeight="1" thickBot="1" x14ac:dyDescent="0.25">
      <c r="A425" s="1"/>
      <c r="B425" s="1"/>
      <c r="C425" s="1"/>
      <c r="D425" s="1"/>
      <c r="E425" s="1"/>
      <c r="F425" s="689"/>
      <c r="G425" s="690"/>
      <c r="H425" s="691">
        <f>SUM(H391:H424)</f>
        <v>2822504</v>
      </c>
      <c r="I425" s="691">
        <f t="shared" ref="I425:L425" si="41">SUM(I391:I424)</f>
        <v>1873568</v>
      </c>
      <c r="J425" s="691">
        <f t="shared" si="41"/>
        <v>436070</v>
      </c>
      <c r="K425" s="691">
        <f t="shared" si="41"/>
        <v>512865</v>
      </c>
      <c r="L425" s="691">
        <f t="shared" si="41"/>
        <v>1</v>
      </c>
      <c r="M425" s="1"/>
      <c r="N425" s="692">
        <f>SUM(N391:N424)</f>
        <v>2407289</v>
      </c>
      <c r="O425" s="692">
        <f t="shared" ref="O425:Q425" si="42">SUM(O391:O424)</f>
        <v>1640019</v>
      </c>
      <c r="P425" s="692">
        <f t="shared" si="42"/>
        <v>317280</v>
      </c>
      <c r="Q425" s="692">
        <f t="shared" si="42"/>
        <v>449990</v>
      </c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thickBo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thickBot="1" x14ac:dyDescent="0.25">
      <c r="A433" s="1"/>
      <c r="B433" s="1"/>
      <c r="C433" s="1"/>
      <c r="D433" s="1"/>
      <c r="E433" s="1"/>
      <c r="F433" s="680" t="s">
        <v>51</v>
      </c>
      <c r="G433" s="681">
        <v>2014</v>
      </c>
      <c r="H433" s="682">
        <v>258253</v>
      </c>
      <c r="I433" s="682">
        <v>258253</v>
      </c>
      <c r="J433" s="682">
        <v>0</v>
      </c>
      <c r="K433" s="682">
        <v>0</v>
      </c>
      <c r="L433" s="692">
        <f>+H433-I433-J433-K433</f>
        <v>0</v>
      </c>
      <c r="M433" s="1"/>
      <c r="N433" s="695">
        <v>258253</v>
      </c>
      <c r="O433" s="695">
        <v>258253</v>
      </c>
      <c r="P433" s="695">
        <v>0</v>
      </c>
      <c r="Q433" s="695">
        <v>0</v>
      </c>
      <c r="R433" s="692">
        <f>+N433-O433-P433-Q433</f>
        <v>0</v>
      </c>
      <c r="S433" s="1"/>
      <c r="T433" s="1"/>
      <c r="U433" s="1"/>
      <c r="V433" s="1"/>
      <c r="W433" s="1"/>
      <c r="X433" s="1"/>
      <c r="Y433" s="1"/>
    </row>
    <row r="434" spans="1:25" ht="12.75" customHeight="1" thickBot="1" x14ac:dyDescent="0.25">
      <c r="A434" s="1"/>
      <c r="B434" s="1"/>
      <c r="C434" s="1"/>
      <c r="D434" s="1"/>
      <c r="E434" s="1"/>
      <c r="F434" s="683" t="s">
        <v>307</v>
      </c>
      <c r="G434" s="684">
        <v>2017</v>
      </c>
      <c r="H434" s="685">
        <v>159897</v>
      </c>
      <c r="I434" s="685">
        <v>136649</v>
      </c>
      <c r="J434" s="685">
        <v>19619</v>
      </c>
      <c r="K434" s="685">
        <v>3629</v>
      </c>
      <c r="L434" s="692">
        <f t="shared" ref="L434:L466" si="43">+H434-I434-J434-K434</f>
        <v>0</v>
      </c>
      <c r="M434" s="1"/>
      <c r="N434" s="696">
        <v>159897</v>
      </c>
      <c r="O434" s="696">
        <v>136649</v>
      </c>
      <c r="P434" s="696">
        <v>19619</v>
      </c>
      <c r="Q434" s="696">
        <v>3629</v>
      </c>
      <c r="R434" s="692">
        <f t="shared" ref="R434:R466" si="44">+N434-O434-P434-Q434</f>
        <v>0</v>
      </c>
      <c r="S434" s="1"/>
      <c r="T434" s="1"/>
      <c r="U434" s="1"/>
      <c r="V434" s="1"/>
      <c r="W434" s="1"/>
      <c r="X434" s="1"/>
      <c r="Y434" s="1"/>
    </row>
    <row r="435" spans="1:25" ht="12.75" customHeight="1" thickBot="1" x14ac:dyDescent="0.25">
      <c r="A435" s="1"/>
      <c r="B435" s="1"/>
      <c r="C435" s="1"/>
      <c r="D435" s="1"/>
      <c r="E435" s="1"/>
      <c r="F435" s="683" t="s">
        <v>49</v>
      </c>
      <c r="G435" s="684">
        <v>2018</v>
      </c>
      <c r="H435" s="685">
        <v>78567</v>
      </c>
      <c r="I435" s="685">
        <v>63858</v>
      </c>
      <c r="J435" s="685">
        <v>12648</v>
      </c>
      <c r="K435" s="685">
        <v>2061</v>
      </c>
      <c r="L435" s="692">
        <f t="shared" si="43"/>
        <v>0</v>
      </c>
      <c r="M435" s="1"/>
      <c r="N435" s="696">
        <v>78567</v>
      </c>
      <c r="O435" s="696">
        <v>63858</v>
      </c>
      <c r="P435" s="696">
        <v>12648</v>
      </c>
      <c r="Q435" s="696">
        <v>2061</v>
      </c>
      <c r="R435" s="692">
        <f t="shared" si="44"/>
        <v>0</v>
      </c>
      <c r="S435" s="1"/>
      <c r="T435" s="1"/>
      <c r="U435" s="1"/>
      <c r="V435" s="1"/>
      <c r="W435" s="1"/>
      <c r="X435" s="1"/>
      <c r="Y435" s="1"/>
    </row>
    <row r="436" spans="1:25" ht="12.75" customHeight="1" thickBot="1" x14ac:dyDescent="0.25">
      <c r="A436" s="1"/>
      <c r="B436" s="1"/>
      <c r="C436" s="1"/>
      <c r="D436" s="1"/>
      <c r="E436" s="1"/>
      <c r="F436" s="683" t="s">
        <v>480</v>
      </c>
      <c r="G436" s="684">
        <v>2018</v>
      </c>
      <c r="H436" s="685">
        <v>257745</v>
      </c>
      <c r="I436" s="685">
        <v>211346</v>
      </c>
      <c r="J436" s="685">
        <v>33005</v>
      </c>
      <c r="K436" s="685">
        <v>13394</v>
      </c>
      <c r="L436" s="692">
        <f t="shared" si="43"/>
        <v>0</v>
      </c>
      <c r="M436" s="1"/>
      <c r="N436" s="696">
        <v>257745</v>
      </c>
      <c r="O436" s="696">
        <v>211346</v>
      </c>
      <c r="P436" s="696">
        <v>33005</v>
      </c>
      <c r="Q436" s="696">
        <v>13394</v>
      </c>
      <c r="R436" s="692">
        <f t="shared" si="44"/>
        <v>0</v>
      </c>
      <c r="S436" s="1"/>
      <c r="T436" s="1"/>
      <c r="U436" s="1"/>
      <c r="V436" s="1"/>
      <c r="W436" s="1"/>
      <c r="X436" s="1"/>
      <c r="Y436" s="1"/>
    </row>
    <row r="437" spans="1:25" ht="12.75" customHeight="1" thickBot="1" x14ac:dyDescent="0.25">
      <c r="A437" s="1"/>
      <c r="B437" s="1"/>
      <c r="C437" s="1"/>
      <c r="D437" s="1"/>
      <c r="E437" s="1"/>
      <c r="F437" s="683" t="s">
        <v>60</v>
      </c>
      <c r="G437" s="686">
        <v>2017</v>
      </c>
      <c r="H437" s="685">
        <v>11700</v>
      </c>
      <c r="I437" s="685">
        <v>11700</v>
      </c>
      <c r="J437" s="685">
        <v>0</v>
      </c>
      <c r="K437" s="685">
        <v>0</v>
      </c>
      <c r="L437" s="692">
        <f t="shared" si="43"/>
        <v>0</v>
      </c>
      <c r="M437" s="1"/>
      <c r="N437" s="696">
        <v>11700</v>
      </c>
      <c r="O437" s="696">
        <v>11700</v>
      </c>
      <c r="P437" s="696">
        <v>0</v>
      </c>
      <c r="Q437" s="696">
        <v>0</v>
      </c>
      <c r="R437" s="692">
        <f t="shared" si="44"/>
        <v>0</v>
      </c>
      <c r="S437" s="1"/>
      <c r="T437" s="1"/>
      <c r="U437" s="1"/>
      <c r="V437" s="1"/>
      <c r="W437" s="1"/>
      <c r="X437" s="1"/>
      <c r="Y437" s="1"/>
    </row>
    <row r="438" spans="1:25" ht="12.75" customHeight="1" thickBot="1" x14ac:dyDescent="0.25">
      <c r="A438" s="1"/>
      <c r="B438" s="1"/>
      <c r="C438" s="1"/>
      <c r="D438" s="1"/>
      <c r="E438" s="1"/>
      <c r="F438" s="683" t="s">
        <v>61</v>
      </c>
      <c r="G438" s="686">
        <v>2017</v>
      </c>
      <c r="H438" s="685">
        <v>17494</v>
      </c>
      <c r="I438" s="685">
        <v>17494</v>
      </c>
      <c r="J438" s="685">
        <v>0</v>
      </c>
      <c r="K438" s="685">
        <v>0</v>
      </c>
      <c r="L438" s="692">
        <f t="shared" si="43"/>
        <v>0</v>
      </c>
      <c r="M438" s="1"/>
      <c r="N438" s="696">
        <v>17494</v>
      </c>
      <c r="O438" s="696">
        <v>17494</v>
      </c>
      <c r="P438" s="696">
        <v>0</v>
      </c>
      <c r="Q438" s="696">
        <v>0</v>
      </c>
      <c r="R438" s="692">
        <f t="shared" si="44"/>
        <v>0</v>
      </c>
      <c r="S438" s="1"/>
      <c r="T438" s="1"/>
      <c r="U438" s="1"/>
      <c r="V438" s="1"/>
      <c r="W438" s="1"/>
      <c r="X438" s="1"/>
      <c r="Y438" s="1"/>
    </row>
    <row r="439" spans="1:25" ht="12.75" customHeight="1" thickBot="1" x14ac:dyDescent="0.25">
      <c r="A439" s="1"/>
      <c r="B439" s="1"/>
      <c r="C439" s="1"/>
      <c r="D439" s="1"/>
      <c r="E439" s="1"/>
      <c r="F439" s="683" t="s">
        <v>473</v>
      </c>
      <c r="G439" s="684">
        <v>2017</v>
      </c>
      <c r="H439" s="685">
        <v>5266</v>
      </c>
      <c r="I439" s="685">
        <v>5266</v>
      </c>
      <c r="J439" s="685">
        <v>0</v>
      </c>
      <c r="K439" s="685">
        <v>0</v>
      </c>
      <c r="L439" s="692">
        <f t="shared" si="43"/>
        <v>0</v>
      </c>
      <c r="M439" s="1"/>
      <c r="N439" s="696">
        <v>5266</v>
      </c>
      <c r="O439" s="696">
        <v>5266</v>
      </c>
      <c r="P439" s="696">
        <v>0</v>
      </c>
      <c r="Q439" s="696">
        <v>0</v>
      </c>
      <c r="R439" s="692">
        <f t="shared" si="44"/>
        <v>0</v>
      </c>
      <c r="S439" s="1"/>
      <c r="T439" s="1"/>
      <c r="U439" s="1"/>
      <c r="V439" s="1"/>
      <c r="W439" s="1"/>
      <c r="X439" s="1"/>
      <c r="Y439" s="1"/>
    </row>
    <row r="440" spans="1:25" ht="12.75" customHeight="1" thickBot="1" x14ac:dyDescent="0.25">
      <c r="A440" s="1"/>
      <c r="B440" s="1"/>
      <c r="C440" s="1"/>
      <c r="D440" s="1"/>
      <c r="E440" s="1"/>
      <c r="F440" s="683" t="s">
        <v>292</v>
      </c>
      <c r="G440" s="684">
        <v>2017</v>
      </c>
      <c r="H440" s="685">
        <v>20118</v>
      </c>
      <c r="I440" s="685">
        <v>18540</v>
      </c>
      <c r="J440" s="685">
        <v>1578</v>
      </c>
      <c r="K440" s="685">
        <v>0</v>
      </c>
      <c r="L440" s="692">
        <f t="shared" si="43"/>
        <v>0</v>
      </c>
      <c r="M440" s="1"/>
      <c r="N440" s="696">
        <v>20118</v>
      </c>
      <c r="O440" s="696">
        <v>18540</v>
      </c>
      <c r="P440" s="696">
        <v>1578</v>
      </c>
      <c r="Q440" s="696">
        <v>0</v>
      </c>
      <c r="R440" s="692">
        <f t="shared" si="44"/>
        <v>0</v>
      </c>
      <c r="S440" s="1"/>
      <c r="T440" s="1"/>
      <c r="U440" s="1"/>
      <c r="V440" s="1"/>
      <c r="W440" s="1"/>
      <c r="X440" s="1"/>
      <c r="Y440" s="1"/>
    </row>
    <row r="441" spans="1:25" ht="12.75" customHeight="1" thickBot="1" x14ac:dyDescent="0.25">
      <c r="A441" s="1"/>
      <c r="B441" s="1"/>
      <c r="C441" s="1"/>
      <c r="D441" s="1"/>
      <c r="E441" s="1"/>
      <c r="F441" s="683" t="s">
        <v>64</v>
      </c>
      <c r="G441" s="684">
        <v>2017</v>
      </c>
      <c r="H441" s="685">
        <v>10443</v>
      </c>
      <c r="I441" s="685">
        <v>10443</v>
      </c>
      <c r="J441" s="685">
        <v>0</v>
      </c>
      <c r="K441" s="685">
        <v>0</v>
      </c>
      <c r="L441" s="692">
        <f t="shared" si="43"/>
        <v>0</v>
      </c>
      <c r="M441" s="1"/>
      <c r="N441" s="696">
        <v>10443</v>
      </c>
      <c r="O441" s="696">
        <v>10443</v>
      </c>
      <c r="P441" s="696">
        <v>0</v>
      </c>
      <c r="Q441" s="696">
        <v>0</v>
      </c>
      <c r="R441" s="692">
        <f t="shared" si="44"/>
        <v>0</v>
      </c>
      <c r="S441" s="1"/>
      <c r="T441" s="1"/>
      <c r="U441" s="1"/>
      <c r="V441" s="1"/>
      <c r="W441" s="1"/>
      <c r="X441" s="1"/>
      <c r="Y441" s="1"/>
    </row>
    <row r="442" spans="1:25" ht="12.75" customHeight="1" thickBot="1" x14ac:dyDescent="0.25">
      <c r="A442" s="1"/>
      <c r="B442" s="1"/>
      <c r="C442" s="1"/>
      <c r="D442" s="1"/>
      <c r="E442" s="1"/>
      <c r="F442" s="683" t="s">
        <v>63</v>
      </c>
      <c r="G442" s="684">
        <v>2017</v>
      </c>
      <c r="H442" s="685">
        <v>36836</v>
      </c>
      <c r="I442" s="685">
        <v>36836</v>
      </c>
      <c r="J442" s="685">
        <v>0</v>
      </c>
      <c r="K442" s="685">
        <v>0</v>
      </c>
      <c r="L442" s="692">
        <f t="shared" si="43"/>
        <v>0</v>
      </c>
      <c r="M442" s="1"/>
      <c r="N442" s="696">
        <v>36836</v>
      </c>
      <c r="O442" s="696">
        <v>36836</v>
      </c>
      <c r="P442" s="696">
        <v>0</v>
      </c>
      <c r="Q442" s="696">
        <v>0</v>
      </c>
      <c r="R442" s="692">
        <f t="shared" si="44"/>
        <v>0</v>
      </c>
      <c r="S442" s="1"/>
      <c r="T442" s="1"/>
      <c r="U442" s="1"/>
      <c r="V442" s="1"/>
      <c r="W442" s="1"/>
      <c r="X442" s="1"/>
      <c r="Y442" s="1"/>
    </row>
    <row r="443" spans="1:25" ht="12.75" customHeight="1" thickBot="1" x14ac:dyDescent="0.25">
      <c r="A443" s="1"/>
      <c r="B443" s="1"/>
      <c r="C443" s="1"/>
      <c r="D443" s="1"/>
      <c r="E443" s="1"/>
      <c r="F443" s="683" t="s">
        <v>55</v>
      </c>
      <c r="G443" s="684">
        <v>2018</v>
      </c>
      <c r="H443" s="685">
        <v>33218</v>
      </c>
      <c r="I443" s="685">
        <v>29897</v>
      </c>
      <c r="J443" s="685">
        <v>3321</v>
      </c>
      <c r="K443" s="685">
        <v>0</v>
      </c>
      <c r="L443" s="692">
        <f t="shared" si="43"/>
        <v>0</v>
      </c>
      <c r="M443" s="1"/>
      <c r="N443" s="696">
        <v>33218</v>
      </c>
      <c r="O443" s="696">
        <v>29897</v>
      </c>
      <c r="P443" s="696">
        <v>3321</v>
      </c>
      <c r="Q443" s="696">
        <v>0</v>
      </c>
      <c r="R443" s="692">
        <f t="shared" si="44"/>
        <v>0</v>
      </c>
      <c r="S443" s="1"/>
      <c r="T443" s="1"/>
      <c r="U443" s="1"/>
      <c r="V443" s="1"/>
      <c r="W443" s="1"/>
      <c r="X443" s="1"/>
      <c r="Y443" s="1"/>
    </row>
    <row r="444" spans="1:25" ht="12.75" customHeight="1" thickBot="1" x14ac:dyDescent="0.25">
      <c r="A444" s="1"/>
      <c r="B444" s="1"/>
      <c r="C444" s="1"/>
      <c r="D444" s="1"/>
      <c r="E444" s="1"/>
      <c r="F444" s="683" t="s">
        <v>54</v>
      </c>
      <c r="G444" s="684">
        <v>2018</v>
      </c>
      <c r="H444" s="685">
        <v>64991</v>
      </c>
      <c r="I444" s="685">
        <v>58492</v>
      </c>
      <c r="J444" s="685">
        <v>6499</v>
      </c>
      <c r="K444" s="685">
        <v>0</v>
      </c>
      <c r="L444" s="692">
        <f t="shared" si="43"/>
        <v>0</v>
      </c>
      <c r="M444" s="1"/>
      <c r="N444" s="696">
        <v>64991</v>
      </c>
      <c r="O444" s="696">
        <v>58492</v>
      </c>
      <c r="P444" s="696">
        <v>6499</v>
      </c>
      <c r="Q444" s="696">
        <v>0</v>
      </c>
      <c r="R444" s="692">
        <f t="shared" si="44"/>
        <v>0</v>
      </c>
      <c r="S444" s="1"/>
      <c r="T444" s="1"/>
      <c r="U444" s="1"/>
      <c r="V444" s="1"/>
      <c r="W444" s="1"/>
      <c r="X444" s="1"/>
      <c r="Y444" s="1"/>
    </row>
    <row r="445" spans="1:25" ht="12.75" customHeight="1" thickBot="1" x14ac:dyDescent="0.25">
      <c r="A445" s="1"/>
      <c r="B445" s="1"/>
      <c r="C445" s="1"/>
      <c r="D445" s="1"/>
      <c r="E445" s="1"/>
      <c r="F445" s="683" t="s">
        <v>293</v>
      </c>
      <c r="G445" s="684">
        <v>2018</v>
      </c>
      <c r="H445" s="685">
        <v>56608</v>
      </c>
      <c r="I445" s="685">
        <v>44963</v>
      </c>
      <c r="J445" s="685">
        <v>7655</v>
      </c>
      <c r="K445" s="685">
        <v>3990</v>
      </c>
      <c r="L445" s="692">
        <f t="shared" si="43"/>
        <v>0</v>
      </c>
      <c r="M445" s="1"/>
      <c r="N445" s="696">
        <v>56608</v>
      </c>
      <c r="O445" s="696">
        <v>44963</v>
      </c>
      <c r="P445" s="696">
        <v>7655</v>
      </c>
      <c r="Q445" s="696">
        <v>3990</v>
      </c>
      <c r="R445" s="692">
        <f t="shared" si="44"/>
        <v>0</v>
      </c>
      <c r="S445" s="1"/>
      <c r="T445" s="1"/>
      <c r="U445" s="1"/>
      <c r="V445" s="1"/>
      <c r="W445" s="1"/>
      <c r="X445" s="1"/>
      <c r="Y445" s="1"/>
    </row>
    <row r="446" spans="1:25" ht="12.75" customHeight="1" thickBot="1" x14ac:dyDescent="0.25">
      <c r="A446" s="1"/>
      <c r="B446" s="1"/>
      <c r="C446" s="1"/>
      <c r="D446" s="1"/>
      <c r="E446" s="1"/>
      <c r="F446" s="683" t="s">
        <v>53</v>
      </c>
      <c r="G446" s="684">
        <v>2018</v>
      </c>
      <c r="H446" s="685">
        <v>64421</v>
      </c>
      <c r="I446" s="685">
        <v>60564</v>
      </c>
      <c r="J446" s="685">
        <v>3857</v>
      </c>
      <c r="K446" s="685">
        <v>0</v>
      </c>
      <c r="L446" s="692">
        <f t="shared" si="43"/>
        <v>0</v>
      </c>
      <c r="M446" s="1"/>
      <c r="N446" s="696">
        <v>64421</v>
      </c>
      <c r="O446" s="696">
        <v>60564</v>
      </c>
      <c r="P446" s="696">
        <v>3857</v>
      </c>
      <c r="Q446" s="696">
        <v>0</v>
      </c>
      <c r="R446" s="692">
        <f t="shared" si="44"/>
        <v>0</v>
      </c>
      <c r="S446" s="1"/>
      <c r="T446" s="1"/>
      <c r="U446" s="1"/>
      <c r="V446" s="1"/>
      <c r="W446" s="1"/>
      <c r="X446" s="1"/>
      <c r="Y446" s="1"/>
    </row>
    <row r="447" spans="1:25" ht="12.75" customHeight="1" thickBot="1" x14ac:dyDescent="0.25">
      <c r="A447" s="1"/>
      <c r="B447" s="1"/>
      <c r="C447" s="1"/>
      <c r="D447" s="1"/>
      <c r="E447" s="1"/>
      <c r="F447" s="683" t="s">
        <v>52</v>
      </c>
      <c r="G447" s="684">
        <v>2018</v>
      </c>
      <c r="H447" s="685">
        <v>20000</v>
      </c>
      <c r="I447" s="685">
        <v>18000</v>
      </c>
      <c r="J447" s="685">
        <v>2000</v>
      </c>
      <c r="K447" s="685">
        <v>0</v>
      </c>
      <c r="L447" s="692">
        <f t="shared" si="43"/>
        <v>0</v>
      </c>
      <c r="M447" s="1"/>
      <c r="N447" s="696">
        <v>20000</v>
      </c>
      <c r="O447" s="696">
        <v>18000</v>
      </c>
      <c r="P447" s="696">
        <v>2000</v>
      </c>
      <c r="Q447" s="696">
        <v>0</v>
      </c>
      <c r="R447" s="692">
        <f t="shared" si="44"/>
        <v>0</v>
      </c>
      <c r="S447" s="1"/>
      <c r="T447" s="1"/>
      <c r="U447" s="1"/>
      <c r="V447" s="1"/>
      <c r="W447" s="1"/>
      <c r="X447" s="1"/>
      <c r="Y447" s="1"/>
    </row>
    <row r="448" spans="1:25" ht="12.75" customHeight="1" thickBot="1" x14ac:dyDescent="0.25">
      <c r="A448" s="1"/>
      <c r="B448" s="1"/>
      <c r="C448" s="1"/>
      <c r="D448" s="1"/>
      <c r="E448" s="1"/>
      <c r="F448" s="683" t="s">
        <v>66</v>
      </c>
      <c r="G448" s="684">
        <v>2019</v>
      </c>
      <c r="H448" s="685">
        <v>606410</v>
      </c>
      <c r="I448" s="685">
        <v>412244</v>
      </c>
      <c r="J448" s="685">
        <v>126513</v>
      </c>
      <c r="K448" s="685">
        <v>67653</v>
      </c>
      <c r="L448" s="692">
        <f t="shared" si="43"/>
        <v>0</v>
      </c>
      <c r="M448" s="1"/>
      <c r="N448" s="696">
        <v>606410</v>
      </c>
      <c r="O448" s="696">
        <v>412244</v>
      </c>
      <c r="P448" s="696">
        <v>126513</v>
      </c>
      <c r="Q448" s="696">
        <v>67653</v>
      </c>
      <c r="R448" s="692">
        <f t="shared" si="44"/>
        <v>0</v>
      </c>
      <c r="S448" s="1"/>
      <c r="T448" s="1"/>
      <c r="U448" s="1"/>
      <c r="V448" s="1"/>
      <c r="W448" s="1"/>
      <c r="X448" s="1"/>
      <c r="Y448" s="1"/>
    </row>
    <row r="449" spans="1:25" ht="12.75" customHeight="1" thickBot="1" x14ac:dyDescent="0.25">
      <c r="A449" s="1"/>
      <c r="B449" s="1"/>
      <c r="C449" s="1"/>
      <c r="D449" s="1"/>
      <c r="E449" s="1"/>
      <c r="F449" s="683" t="s">
        <v>67</v>
      </c>
      <c r="G449" s="684">
        <v>2019</v>
      </c>
      <c r="H449" s="685">
        <v>39376</v>
      </c>
      <c r="I449" s="685">
        <v>32958</v>
      </c>
      <c r="J449" s="685">
        <v>5562</v>
      </c>
      <c r="K449" s="685">
        <v>856</v>
      </c>
      <c r="L449" s="692">
        <f t="shared" si="43"/>
        <v>0</v>
      </c>
      <c r="M449" s="1"/>
      <c r="N449" s="696">
        <v>39376</v>
      </c>
      <c r="O449" s="696">
        <v>32958</v>
      </c>
      <c r="P449" s="696">
        <v>5562</v>
      </c>
      <c r="Q449" s="696">
        <v>856</v>
      </c>
      <c r="R449" s="692">
        <f t="shared" si="44"/>
        <v>0</v>
      </c>
      <c r="S449" s="1"/>
      <c r="T449" s="1"/>
      <c r="U449" s="1"/>
      <c r="V449" s="1"/>
      <c r="W449" s="1"/>
      <c r="X449" s="1"/>
      <c r="Y449" s="1"/>
    </row>
    <row r="450" spans="1:25" ht="12.75" customHeight="1" thickBot="1" x14ac:dyDescent="0.25">
      <c r="A450" s="1"/>
      <c r="B450" s="1"/>
      <c r="C450" s="1"/>
      <c r="D450" s="1"/>
      <c r="E450" s="1"/>
      <c r="F450" s="683" t="s">
        <v>68</v>
      </c>
      <c r="G450" s="684">
        <v>2019</v>
      </c>
      <c r="H450" s="685">
        <v>37741</v>
      </c>
      <c r="I450" s="685">
        <v>31124</v>
      </c>
      <c r="J450" s="685">
        <v>5235</v>
      </c>
      <c r="K450" s="685">
        <v>1382</v>
      </c>
      <c r="L450" s="692">
        <f t="shared" si="43"/>
        <v>0</v>
      </c>
      <c r="M450" s="1"/>
      <c r="N450" s="696">
        <v>37741</v>
      </c>
      <c r="O450" s="696">
        <v>31124</v>
      </c>
      <c r="P450" s="696">
        <v>5235</v>
      </c>
      <c r="Q450" s="696">
        <v>1382</v>
      </c>
      <c r="R450" s="692">
        <f t="shared" si="44"/>
        <v>0</v>
      </c>
      <c r="S450" s="1"/>
      <c r="T450" s="1"/>
      <c r="U450" s="1"/>
      <c r="V450" s="1"/>
      <c r="W450" s="1"/>
      <c r="X450" s="1"/>
      <c r="Y450" s="1"/>
    </row>
    <row r="451" spans="1:25" ht="12.75" customHeight="1" thickBot="1" x14ac:dyDescent="0.25">
      <c r="A451" s="1"/>
      <c r="B451" s="1"/>
      <c r="C451" s="1"/>
      <c r="D451" s="1"/>
      <c r="E451" s="1"/>
      <c r="F451" s="683" t="s">
        <v>69</v>
      </c>
      <c r="G451" s="684">
        <v>2019</v>
      </c>
      <c r="H451" s="685">
        <v>30836</v>
      </c>
      <c r="I451" s="685">
        <v>26981</v>
      </c>
      <c r="J451" s="685">
        <v>3855</v>
      </c>
      <c r="K451" s="685">
        <v>0</v>
      </c>
      <c r="L451" s="692">
        <f t="shared" si="43"/>
        <v>0</v>
      </c>
      <c r="M451" s="1"/>
      <c r="N451" s="696">
        <v>30836</v>
      </c>
      <c r="O451" s="696">
        <v>26981</v>
      </c>
      <c r="P451" s="696">
        <v>3855</v>
      </c>
      <c r="Q451" s="696">
        <v>0</v>
      </c>
      <c r="R451" s="692">
        <f t="shared" si="44"/>
        <v>0</v>
      </c>
      <c r="S451" s="1"/>
      <c r="T451" s="1"/>
      <c r="U451" s="1"/>
      <c r="V451" s="1"/>
      <c r="W451" s="1"/>
      <c r="X451" s="1"/>
      <c r="Y451" s="1"/>
    </row>
    <row r="452" spans="1:25" ht="12.75" customHeight="1" thickBot="1" x14ac:dyDescent="0.25">
      <c r="A452" s="1"/>
      <c r="B452" s="1"/>
      <c r="C452" s="1"/>
      <c r="D452" s="1"/>
      <c r="E452" s="1"/>
      <c r="F452" s="683" t="s">
        <v>485</v>
      </c>
      <c r="G452" s="684">
        <v>2019</v>
      </c>
      <c r="H452" s="685">
        <v>61671</v>
      </c>
      <c r="I452" s="685">
        <v>53962</v>
      </c>
      <c r="J452" s="685">
        <v>7709</v>
      </c>
      <c r="K452" s="685">
        <v>0</v>
      </c>
      <c r="L452" s="692">
        <f t="shared" si="43"/>
        <v>0</v>
      </c>
      <c r="M452" s="1"/>
      <c r="N452" s="696">
        <v>61671</v>
      </c>
      <c r="O452" s="696">
        <v>53962</v>
      </c>
      <c r="P452" s="696">
        <v>7709</v>
      </c>
      <c r="Q452" s="696">
        <v>0</v>
      </c>
      <c r="R452" s="692">
        <f t="shared" si="44"/>
        <v>0</v>
      </c>
      <c r="S452" s="1"/>
      <c r="T452" s="1"/>
      <c r="U452" s="1"/>
      <c r="V452" s="1"/>
      <c r="W452" s="1"/>
      <c r="X452" s="1"/>
      <c r="Y452" s="1"/>
    </row>
    <row r="453" spans="1:25" ht="12.75" customHeight="1" thickBot="1" x14ac:dyDescent="0.25">
      <c r="A453" s="1"/>
      <c r="B453" s="1"/>
      <c r="C453" s="1"/>
      <c r="D453" s="1"/>
      <c r="E453" s="1"/>
      <c r="F453" s="683" t="s">
        <v>71</v>
      </c>
      <c r="G453" s="684">
        <v>2019</v>
      </c>
      <c r="H453" s="685">
        <v>16042</v>
      </c>
      <c r="I453" s="685">
        <v>10504</v>
      </c>
      <c r="J453" s="685">
        <v>3208</v>
      </c>
      <c r="K453" s="685">
        <v>2330</v>
      </c>
      <c r="L453" s="692">
        <f t="shared" si="43"/>
        <v>0</v>
      </c>
      <c r="M453" s="1"/>
      <c r="N453" s="696">
        <v>16042</v>
      </c>
      <c r="O453" s="696">
        <v>10504</v>
      </c>
      <c r="P453" s="696">
        <v>3208</v>
      </c>
      <c r="Q453" s="696">
        <v>2330</v>
      </c>
      <c r="R453" s="692">
        <f t="shared" si="44"/>
        <v>0</v>
      </c>
      <c r="S453" s="1"/>
      <c r="T453" s="1"/>
      <c r="U453" s="1"/>
      <c r="V453" s="1"/>
      <c r="W453" s="1"/>
      <c r="X453" s="1"/>
      <c r="Y453" s="1"/>
    </row>
    <row r="454" spans="1:25" ht="12.75" customHeight="1" thickBot="1" x14ac:dyDescent="0.25">
      <c r="A454" s="1"/>
      <c r="B454" s="1"/>
      <c r="C454" s="1"/>
      <c r="D454" s="1"/>
      <c r="E454" s="1"/>
      <c r="F454" s="683" t="s">
        <v>72</v>
      </c>
      <c r="G454" s="684">
        <v>2019</v>
      </c>
      <c r="H454" s="685">
        <v>14640</v>
      </c>
      <c r="I454" s="685">
        <v>10248</v>
      </c>
      <c r="J454" s="685">
        <v>2928</v>
      </c>
      <c r="K454" s="685">
        <v>1464</v>
      </c>
      <c r="L454" s="692">
        <f t="shared" si="43"/>
        <v>0</v>
      </c>
      <c r="M454" s="1"/>
      <c r="N454" s="696">
        <v>14640</v>
      </c>
      <c r="O454" s="696">
        <v>10248</v>
      </c>
      <c r="P454" s="696">
        <v>2928</v>
      </c>
      <c r="Q454" s="696">
        <v>1464</v>
      </c>
      <c r="R454" s="692">
        <f t="shared" si="44"/>
        <v>0</v>
      </c>
      <c r="S454" s="1"/>
      <c r="T454" s="1"/>
      <c r="U454" s="1"/>
      <c r="V454" s="1"/>
      <c r="W454" s="1"/>
      <c r="X454" s="1"/>
      <c r="Y454" s="1"/>
    </row>
    <row r="455" spans="1:25" ht="12.75" customHeight="1" thickBot="1" x14ac:dyDescent="0.25">
      <c r="A455" s="1"/>
      <c r="B455" s="1"/>
      <c r="C455" s="1"/>
      <c r="D455" s="1"/>
      <c r="E455" s="1"/>
      <c r="F455" s="683" t="s">
        <v>74</v>
      </c>
      <c r="G455" s="684">
        <v>2019</v>
      </c>
      <c r="H455" s="685">
        <v>11586</v>
      </c>
      <c r="I455" s="685">
        <v>8109</v>
      </c>
      <c r="J455" s="685">
        <v>2317</v>
      </c>
      <c r="K455" s="685">
        <v>1160</v>
      </c>
      <c r="L455" s="692">
        <f t="shared" si="43"/>
        <v>0</v>
      </c>
      <c r="M455" s="1"/>
      <c r="N455" s="696">
        <v>11586</v>
      </c>
      <c r="O455" s="696">
        <v>8109</v>
      </c>
      <c r="P455" s="696">
        <v>2317</v>
      </c>
      <c r="Q455" s="696">
        <v>1160</v>
      </c>
      <c r="R455" s="692">
        <f t="shared" si="44"/>
        <v>0</v>
      </c>
      <c r="S455" s="1"/>
      <c r="T455" s="1"/>
      <c r="U455" s="1"/>
      <c r="V455" s="1"/>
      <c r="W455" s="1"/>
      <c r="X455" s="1"/>
      <c r="Y455" s="1"/>
    </row>
    <row r="456" spans="1:25" ht="12.75" customHeight="1" thickBot="1" x14ac:dyDescent="0.25">
      <c r="A456" s="1"/>
      <c r="B456" s="1"/>
      <c r="C456" s="1"/>
      <c r="D456" s="1"/>
      <c r="E456" s="1"/>
      <c r="F456" s="683" t="s">
        <v>75</v>
      </c>
      <c r="G456" s="684">
        <v>2019</v>
      </c>
      <c r="H456" s="685">
        <v>21313</v>
      </c>
      <c r="I456" s="685">
        <v>14919</v>
      </c>
      <c r="J456" s="685">
        <v>4263</v>
      </c>
      <c r="K456" s="685">
        <v>2131</v>
      </c>
      <c r="L456" s="692">
        <f t="shared" si="43"/>
        <v>0</v>
      </c>
      <c r="M456" s="1"/>
      <c r="N456" s="696">
        <v>21313</v>
      </c>
      <c r="O456" s="696">
        <v>14919</v>
      </c>
      <c r="P456" s="696">
        <v>4263</v>
      </c>
      <c r="Q456" s="696">
        <v>2131</v>
      </c>
      <c r="R456" s="692">
        <f t="shared" si="44"/>
        <v>0</v>
      </c>
      <c r="S456" s="1"/>
      <c r="T456" s="1"/>
      <c r="U456" s="1"/>
      <c r="V456" s="1"/>
      <c r="W456" s="1"/>
      <c r="X456" s="1"/>
      <c r="Y456" s="1"/>
    </row>
    <row r="457" spans="1:25" ht="12.75" customHeight="1" thickBot="1" x14ac:dyDescent="0.25">
      <c r="A457" s="1"/>
      <c r="B457" s="1"/>
      <c r="C457" s="1"/>
      <c r="D457" s="1"/>
      <c r="E457" s="1"/>
      <c r="F457" s="683" t="s">
        <v>657</v>
      </c>
      <c r="G457" s="684">
        <v>2020</v>
      </c>
      <c r="H457" s="685">
        <v>80061</v>
      </c>
      <c r="I457" s="685">
        <v>52537</v>
      </c>
      <c r="J457" s="685">
        <v>16138</v>
      </c>
      <c r="K457" s="685">
        <v>11386</v>
      </c>
      <c r="L457" s="692">
        <f t="shared" si="43"/>
        <v>0</v>
      </c>
      <c r="M457" s="1"/>
      <c r="N457" s="696">
        <v>80061</v>
      </c>
      <c r="O457" s="696">
        <v>52537</v>
      </c>
      <c r="P457" s="696">
        <v>16138</v>
      </c>
      <c r="Q457" s="696">
        <v>11386</v>
      </c>
      <c r="R457" s="692">
        <f t="shared" si="44"/>
        <v>0</v>
      </c>
      <c r="S457" s="1"/>
      <c r="T457" s="1"/>
      <c r="U457" s="1"/>
      <c r="V457" s="1"/>
      <c r="W457" s="1"/>
      <c r="X457" s="1"/>
      <c r="Y457" s="1"/>
    </row>
    <row r="458" spans="1:25" ht="12.75" customHeight="1" thickBot="1" x14ac:dyDescent="0.25">
      <c r="A458" s="1"/>
      <c r="B458" s="1"/>
      <c r="C458" s="1"/>
      <c r="D458" s="1"/>
      <c r="E458" s="1"/>
      <c r="F458" s="683" t="s">
        <v>45</v>
      </c>
      <c r="G458" s="684">
        <v>2020</v>
      </c>
      <c r="H458" s="685">
        <v>83391</v>
      </c>
      <c r="I458" s="685">
        <v>33097</v>
      </c>
      <c r="J458" s="685">
        <v>19036</v>
      </c>
      <c r="K458" s="685">
        <v>31258</v>
      </c>
      <c r="L458" s="692">
        <f t="shared" si="43"/>
        <v>0</v>
      </c>
      <c r="M458" s="1"/>
      <c r="N458" s="696">
        <v>83391</v>
      </c>
      <c r="O458" s="696">
        <v>33097</v>
      </c>
      <c r="P458" s="696">
        <v>19036</v>
      </c>
      <c r="Q458" s="696">
        <v>31258</v>
      </c>
      <c r="R458" s="692">
        <f t="shared" si="44"/>
        <v>0</v>
      </c>
      <c r="S458" s="1"/>
      <c r="T458" s="1"/>
      <c r="U458" s="1"/>
      <c r="V458" s="1"/>
      <c r="W458" s="1"/>
      <c r="X458" s="1"/>
      <c r="Y458" s="1"/>
    </row>
    <row r="459" spans="1:25" ht="12.75" customHeight="1" thickBot="1" x14ac:dyDescent="0.25">
      <c r="A459" s="1"/>
      <c r="B459" s="1"/>
      <c r="C459" s="1"/>
      <c r="D459" s="1"/>
      <c r="E459" s="1"/>
      <c r="F459" s="683" t="s">
        <v>46</v>
      </c>
      <c r="G459" s="684">
        <v>2020</v>
      </c>
      <c r="H459" s="685">
        <v>104990</v>
      </c>
      <c r="I459" s="685">
        <v>46115</v>
      </c>
      <c r="J459" s="685">
        <v>23247</v>
      </c>
      <c r="K459" s="685">
        <v>35628</v>
      </c>
      <c r="L459" s="692">
        <f t="shared" si="43"/>
        <v>0</v>
      </c>
      <c r="M459" s="1"/>
      <c r="N459" s="696">
        <v>104990</v>
      </c>
      <c r="O459" s="696">
        <v>46115</v>
      </c>
      <c r="P459" s="696">
        <v>23247</v>
      </c>
      <c r="Q459" s="696">
        <v>35628</v>
      </c>
      <c r="R459" s="692">
        <f t="shared" si="44"/>
        <v>0</v>
      </c>
      <c r="S459" s="1"/>
      <c r="T459" s="1"/>
      <c r="U459" s="1"/>
      <c r="V459" s="1"/>
      <c r="W459" s="1"/>
      <c r="X459" s="1"/>
      <c r="Y459" s="1"/>
    </row>
    <row r="460" spans="1:25" ht="12.75" customHeight="1" thickBot="1" x14ac:dyDescent="0.25">
      <c r="A460" s="1"/>
      <c r="B460" s="1"/>
      <c r="C460" s="1"/>
      <c r="D460" s="1"/>
      <c r="E460" s="1"/>
      <c r="F460" s="683" t="s">
        <v>41</v>
      </c>
      <c r="G460" s="684">
        <v>2021</v>
      </c>
      <c r="H460" s="685">
        <v>485045</v>
      </c>
      <c r="I460" s="685">
        <v>132706</v>
      </c>
      <c r="J460" s="685">
        <v>100668</v>
      </c>
      <c r="K460" s="685">
        <v>251671</v>
      </c>
      <c r="L460" s="692">
        <f t="shared" si="43"/>
        <v>0</v>
      </c>
      <c r="M460" s="1"/>
      <c r="N460" s="696">
        <v>485045</v>
      </c>
      <c r="O460" s="696">
        <v>132706</v>
      </c>
      <c r="P460" s="696">
        <v>100668</v>
      </c>
      <c r="Q460" s="696">
        <v>251671</v>
      </c>
      <c r="R460" s="692">
        <f t="shared" si="44"/>
        <v>0</v>
      </c>
      <c r="S460" s="1"/>
      <c r="T460" s="1"/>
      <c r="U460" s="1"/>
      <c r="V460" s="1"/>
      <c r="W460" s="1"/>
      <c r="X460" s="1"/>
      <c r="Y460" s="1"/>
    </row>
    <row r="461" spans="1:25" ht="12.75" customHeight="1" thickBot="1" x14ac:dyDescent="0.25">
      <c r="A461" s="1"/>
      <c r="B461" s="1"/>
      <c r="C461" s="1"/>
      <c r="D461" s="1"/>
      <c r="E461" s="1"/>
      <c r="F461" s="683" t="s">
        <v>753</v>
      </c>
      <c r="G461" s="684">
        <v>2021</v>
      </c>
      <c r="H461" s="685">
        <v>19649</v>
      </c>
      <c r="I461" s="685">
        <v>7368</v>
      </c>
      <c r="J461" s="685">
        <v>4912</v>
      </c>
      <c r="K461" s="685">
        <v>7369</v>
      </c>
      <c r="L461" s="692">
        <f t="shared" si="43"/>
        <v>0</v>
      </c>
      <c r="M461" s="1"/>
      <c r="N461" s="696">
        <v>19649</v>
      </c>
      <c r="O461" s="696">
        <v>7368</v>
      </c>
      <c r="P461" s="696">
        <v>4912</v>
      </c>
      <c r="Q461" s="696">
        <v>7369</v>
      </c>
      <c r="R461" s="692">
        <f t="shared" si="44"/>
        <v>0</v>
      </c>
      <c r="S461" s="1"/>
      <c r="T461" s="1"/>
      <c r="U461" s="1"/>
      <c r="V461" s="1"/>
      <c r="W461" s="1"/>
      <c r="X461" s="1"/>
      <c r="Y461" s="1"/>
    </row>
    <row r="462" spans="1:25" ht="12.75" customHeight="1" thickBot="1" x14ac:dyDescent="0.25">
      <c r="A462" s="1"/>
      <c r="B462" s="1"/>
      <c r="C462" s="1"/>
      <c r="D462" s="1"/>
      <c r="E462" s="1"/>
      <c r="F462" s="683" t="s">
        <v>603</v>
      </c>
      <c r="G462" s="684">
        <v>2021</v>
      </c>
      <c r="H462" s="685">
        <v>26382</v>
      </c>
      <c r="I462" s="685">
        <v>7914</v>
      </c>
      <c r="J462" s="685">
        <v>5276</v>
      </c>
      <c r="K462" s="685">
        <v>13192</v>
      </c>
      <c r="L462" s="692">
        <f t="shared" si="43"/>
        <v>0</v>
      </c>
      <c r="M462" s="1"/>
      <c r="N462" s="696">
        <v>26382</v>
      </c>
      <c r="O462" s="696">
        <v>7914</v>
      </c>
      <c r="P462" s="696">
        <v>5276</v>
      </c>
      <c r="Q462" s="696">
        <v>13192</v>
      </c>
      <c r="R462" s="692">
        <f t="shared" si="44"/>
        <v>0</v>
      </c>
      <c r="S462" s="1"/>
      <c r="T462" s="1"/>
      <c r="U462" s="1"/>
      <c r="V462" s="1"/>
      <c r="W462" s="1"/>
      <c r="X462" s="1"/>
      <c r="Y462" s="1"/>
    </row>
    <row r="463" spans="1:25" ht="12.75" customHeight="1" thickBot="1" x14ac:dyDescent="0.25">
      <c r="A463" s="1"/>
      <c r="B463" s="1"/>
      <c r="C463" s="1"/>
      <c r="D463" s="1"/>
      <c r="E463" s="1"/>
      <c r="F463" s="683" t="s">
        <v>710</v>
      </c>
      <c r="G463" s="684">
        <v>2021</v>
      </c>
      <c r="H463" s="685">
        <v>39584</v>
      </c>
      <c r="I463" s="685">
        <v>9029</v>
      </c>
      <c r="J463" s="685">
        <v>8730</v>
      </c>
      <c r="K463" s="685">
        <v>21825</v>
      </c>
      <c r="L463" s="692">
        <f t="shared" si="43"/>
        <v>0</v>
      </c>
      <c r="M463" s="1"/>
      <c r="N463" s="696">
        <v>39584</v>
      </c>
      <c r="O463" s="696">
        <v>9029</v>
      </c>
      <c r="P463" s="696">
        <v>8730</v>
      </c>
      <c r="Q463" s="696">
        <v>21825</v>
      </c>
      <c r="R463" s="692">
        <f t="shared" si="44"/>
        <v>0</v>
      </c>
      <c r="S463" s="1"/>
      <c r="T463" s="1"/>
      <c r="U463" s="1"/>
      <c r="V463" s="1"/>
      <c r="W463" s="1"/>
      <c r="X463" s="1"/>
      <c r="Y463" s="1"/>
    </row>
    <row r="464" spans="1:25" ht="12.75" customHeight="1" thickBot="1" x14ac:dyDescent="0.25">
      <c r="A464" s="1"/>
      <c r="B464" s="1"/>
      <c r="C464" s="1"/>
      <c r="D464" s="1"/>
      <c r="E464" s="1"/>
      <c r="F464" s="683" t="s">
        <v>47</v>
      </c>
      <c r="G464" s="687">
        <v>2022</v>
      </c>
      <c r="H464" s="688">
        <v>14518</v>
      </c>
      <c r="I464" s="685">
        <v>1452</v>
      </c>
      <c r="J464" s="685">
        <v>2904</v>
      </c>
      <c r="K464" s="685">
        <v>10162</v>
      </c>
      <c r="L464" s="692">
        <f t="shared" si="43"/>
        <v>0</v>
      </c>
      <c r="M464" s="1"/>
      <c r="N464" s="697">
        <v>14518</v>
      </c>
      <c r="O464" s="696">
        <v>1452</v>
      </c>
      <c r="P464" s="696">
        <v>2904</v>
      </c>
      <c r="Q464" s="696">
        <v>10162</v>
      </c>
      <c r="R464" s="692">
        <f t="shared" si="44"/>
        <v>0</v>
      </c>
      <c r="S464" s="1"/>
      <c r="T464" s="1"/>
      <c r="U464" s="1"/>
      <c r="V464" s="1"/>
      <c r="W464" s="1"/>
      <c r="X464" s="1"/>
      <c r="Y464" s="1"/>
    </row>
    <row r="465" spans="1:25" ht="12.75" customHeight="1" thickBot="1" x14ac:dyDescent="0.25">
      <c r="A465" s="1"/>
      <c r="B465" s="1"/>
      <c r="C465" s="1"/>
      <c r="D465" s="1"/>
      <c r="E465" s="1"/>
      <c r="F465" s="683" t="s">
        <v>755</v>
      </c>
      <c r="G465" s="687">
        <v>2023</v>
      </c>
      <c r="H465" s="688">
        <v>9526</v>
      </c>
      <c r="I465" s="685">
        <v>0</v>
      </c>
      <c r="J465" s="685">
        <v>953</v>
      </c>
      <c r="K465" s="685">
        <v>8573</v>
      </c>
      <c r="L465" s="692">
        <f t="shared" si="43"/>
        <v>0</v>
      </c>
      <c r="M465" s="1"/>
      <c r="N465" s="697">
        <v>9526</v>
      </c>
      <c r="O465" s="696">
        <v>0</v>
      </c>
      <c r="P465" s="696">
        <v>953</v>
      </c>
      <c r="Q465" s="696">
        <v>8573</v>
      </c>
      <c r="R465" s="692">
        <f t="shared" si="44"/>
        <v>0</v>
      </c>
      <c r="S465" s="1"/>
      <c r="T465" s="1"/>
      <c r="U465" s="1"/>
      <c r="V465" s="1"/>
      <c r="W465" s="1"/>
      <c r="X465" s="1"/>
      <c r="Y465" s="1"/>
    </row>
    <row r="466" spans="1:25" ht="12.75" customHeight="1" thickBot="1" x14ac:dyDescent="0.25">
      <c r="A466" s="1"/>
      <c r="B466" s="1"/>
      <c r="C466" s="1"/>
      <c r="D466" s="1"/>
      <c r="E466" s="1"/>
      <c r="F466" s="683" t="s">
        <v>977</v>
      </c>
      <c r="G466" s="687">
        <v>2022</v>
      </c>
      <c r="H466" s="688">
        <v>24186</v>
      </c>
      <c r="I466" s="685">
        <v>0</v>
      </c>
      <c r="J466" s="685">
        <v>2435</v>
      </c>
      <c r="K466" s="685">
        <v>21751</v>
      </c>
      <c r="L466" s="692">
        <f t="shared" si="43"/>
        <v>0</v>
      </c>
      <c r="M466" s="1"/>
      <c r="N466" s="697">
        <v>24186</v>
      </c>
      <c r="O466" s="696">
        <v>0</v>
      </c>
      <c r="P466" s="696">
        <v>2435</v>
      </c>
      <c r="Q466" s="696">
        <v>21751</v>
      </c>
      <c r="R466" s="692">
        <f t="shared" si="44"/>
        <v>0</v>
      </c>
      <c r="S466" s="1"/>
      <c r="T466" s="1"/>
      <c r="U466" s="1"/>
      <c r="V466" s="1"/>
      <c r="W466" s="1"/>
      <c r="X466" s="1"/>
      <c r="Y466" s="1"/>
    </row>
    <row r="467" spans="1:25" thickBot="1" x14ac:dyDescent="0.25">
      <c r="A467" s="1"/>
      <c r="B467" s="1"/>
      <c r="C467" s="1"/>
      <c r="D467" s="1"/>
      <c r="E467" s="1"/>
      <c r="F467" s="689"/>
      <c r="G467" s="690"/>
      <c r="H467" s="691">
        <f>SUM(H433:H466)</f>
        <v>2822504</v>
      </c>
      <c r="I467" s="691">
        <f t="shared" ref="I467:K467" si="45">SUM(I433:I466)</f>
        <v>1873568</v>
      </c>
      <c r="J467" s="691">
        <f t="shared" si="45"/>
        <v>436071</v>
      </c>
      <c r="K467" s="691">
        <f t="shared" si="45"/>
        <v>512865</v>
      </c>
      <c r="L467" s="1"/>
      <c r="M467" s="1"/>
      <c r="N467" s="692">
        <f>SUM(N433:N466)</f>
        <v>2822504</v>
      </c>
      <c r="O467" s="692">
        <f t="shared" ref="O467:Q467" si="46">SUM(O433:O466)</f>
        <v>1873568</v>
      </c>
      <c r="P467" s="692">
        <f t="shared" si="46"/>
        <v>436071</v>
      </c>
      <c r="Q467" s="692">
        <f t="shared" si="46"/>
        <v>512865</v>
      </c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thickBo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80" customHeight="1" thickBot="1" x14ac:dyDescent="0.25">
      <c r="A472" s="1"/>
      <c r="B472" s="1"/>
      <c r="C472" s="1"/>
      <c r="D472" s="1"/>
      <c r="E472" s="1"/>
      <c r="F472" s="678" t="s">
        <v>286</v>
      </c>
      <c r="G472" s="679" t="s">
        <v>287</v>
      </c>
      <c r="H472" s="679" t="s">
        <v>288</v>
      </c>
      <c r="I472" s="679" t="s">
        <v>479</v>
      </c>
      <c r="J472" s="679" t="s">
        <v>290</v>
      </c>
      <c r="K472" s="679" t="s">
        <v>304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thickBot="1" x14ac:dyDescent="0.25">
      <c r="A473" s="1"/>
      <c r="B473" s="1"/>
      <c r="C473" s="1"/>
      <c r="D473" s="1"/>
      <c r="E473" s="1"/>
      <c r="F473" s="680" t="s">
        <v>51</v>
      </c>
      <c r="G473" s="681">
        <v>2014</v>
      </c>
      <c r="H473" s="682">
        <v>258253</v>
      </c>
      <c r="I473" s="682">
        <v>258253</v>
      </c>
      <c r="J473" s="682">
        <v>0</v>
      </c>
      <c r="K473" s="682">
        <v>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thickBot="1" x14ac:dyDescent="0.25">
      <c r="A474" s="1"/>
      <c r="B474" s="1"/>
      <c r="C474" s="1"/>
      <c r="D474" s="1"/>
      <c r="E474" s="1"/>
      <c r="F474" s="683" t="s">
        <v>307</v>
      </c>
      <c r="G474" s="684">
        <v>2017</v>
      </c>
      <c r="H474" s="685">
        <v>159897</v>
      </c>
      <c r="I474" s="685">
        <v>136649</v>
      </c>
      <c r="J474" s="685">
        <v>19619</v>
      </c>
      <c r="K474" s="685">
        <v>3629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thickBot="1" x14ac:dyDescent="0.25">
      <c r="A475" s="1"/>
      <c r="B475" s="1"/>
      <c r="C475" s="1"/>
      <c r="D475" s="1"/>
      <c r="E475" s="1"/>
      <c r="F475" s="683" t="s">
        <v>49</v>
      </c>
      <c r="G475" s="684">
        <v>2018</v>
      </c>
      <c r="H475" s="685">
        <v>78567</v>
      </c>
      <c r="I475" s="685">
        <v>63858</v>
      </c>
      <c r="J475" s="685">
        <v>12648</v>
      </c>
      <c r="K475" s="685">
        <v>2061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thickBot="1" x14ac:dyDescent="0.25">
      <c r="A476" s="1"/>
      <c r="B476" s="1"/>
      <c r="C476" s="1"/>
      <c r="D476" s="1"/>
      <c r="E476" s="1"/>
      <c r="F476" s="683" t="s">
        <v>480</v>
      </c>
      <c r="G476" s="684">
        <v>2018</v>
      </c>
      <c r="H476" s="685">
        <v>257745</v>
      </c>
      <c r="I476" s="685">
        <v>211346</v>
      </c>
      <c r="J476" s="685">
        <v>33005</v>
      </c>
      <c r="K476" s="685">
        <v>13394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thickBot="1" x14ac:dyDescent="0.25">
      <c r="A477" s="1"/>
      <c r="B477" s="1"/>
      <c r="C477" s="1"/>
      <c r="D477" s="1"/>
      <c r="E477" s="1"/>
      <c r="F477" s="683" t="s">
        <v>60</v>
      </c>
      <c r="G477" s="686">
        <v>2017</v>
      </c>
      <c r="H477" s="685">
        <v>11700</v>
      </c>
      <c r="I477" s="685">
        <v>11700</v>
      </c>
      <c r="J477" s="685">
        <v>0</v>
      </c>
      <c r="K477" s="685">
        <v>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thickBot="1" x14ac:dyDescent="0.25">
      <c r="A478" s="1"/>
      <c r="B478" s="1"/>
      <c r="C478" s="1"/>
      <c r="D478" s="1"/>
      <c r="E478" s="1"/>
      <c r="F478" s="683" t="s">
        <v>61</v>
      </c>
      <c r="G478" s="686">
        <v>2017</v>
      </c>
      <c r="H478" s="685">
        <v>17494</v>
      </c>
      <c r="I478" s="685">
        <v>17494</v>
      </c>
      <c r="J478" s="685">
        <v>0</v>
      </c>
      <c r="K478" s="685">
        <v>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thickBot="1" x14ac:dyDescent="0.25">
      <c r="A479" s="1"/>
      <c r="B479" s="1"/>
      <c r="C479" s="1"/>
      <c r="D479" s="1"/>
      <c r="E479" s="1"/>
      <c r="F479" s="683" t="s">
        <v>473</v>
      </c>
      <c r="G479" s="684">
        <v>2017</v>
      </c>
      <c r="H479" s="685">
        <v>5266</v>
      </c>
      <c r="I479" s="685">
        <v>5266</v>
      </c>
      <c r="J479" s="685">
        <v>0</v>
      </c>
      <c r="K479" s="685">
        <v>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thickBot="1" x14ac:dyDescent="0.25">
      <c r="A480" s="1"/>
      <c r="B480" s="1"/>
      <c r="C480" s="1"/>
      <c r="D480" s="1"/>
      <c r="E480" s="1"/>
      <c r="F480" s="683" t="s">
        <v>292</v>
      </c>
      <c r="G480" s="684">
        <v>2017</v>
      </c>
      <c r="H480" s="685">
        <v>20118</v>
      </c>
      <c r="I480" s="685">
        <v>18540</v>
      </c>
      <c r="J480" s="685">
        <v>1578</v>
      </c>
      <c r="K480" s="685">
        <v>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thickBot="1" x14ac:dyDescent="0.25">
      <c r="A481" s="1"/>
      <c r="B481" s="1"/>
      <c r="C481" s="1"/>
      <c r="D481" s="1"/>
      <c r="E481" s="1"/>
      <c r="F481" s="683" t="s">
        <v>64</v>
      </c>
      <c r="G481" s="684">
        <v>2017</v>
      </c>
      <c r="H481" s="685">
        <v>10443</v>
      </c>
      <c r="I481" s="685">
        <v>10443</v>
      </c>
      <c r="J481" s="685">
        <v>0</v>
      </c>
      <c r="K481" s="685">
        <v>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thickBot="1" x14ac:dyDescent="0.25">
      <c r="A482" s="1"/>
      <c r="B482" s="1"/>
      <c r="C482" s="1"/>
      <c r="D482" s="1"/>
      <c r="E482" s="1"/>
      <c r="F482" s="683" t="s">
        <v>63</v>
      </c>
      <c r="G482" s="684">
        <v>2017</v>
      </c>
      <c r="H482" s="685">
        <v>36836</v>
      </c>
      <c r="I482" s="685">
        <v>36836</v>
      </c>
      <c r="J482" s="685">
        <v>0</v>
      </c>
      <c r="K482" s="685">
        <v>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thickBot="1" x14ac:dyDescent="0.25">
      <c r="A483" s="1"/>
      <c r="B483" s="1"/>
      <c r="C483" s="1"/>
      <c r="D483" s="1"/>
      <c r="E483" s="1"/>
      <c r="F483" s="683" t="s">
        <v>55</v>
      </c>
      <c r="G483" s="684">
        <v>2018</v>
      </c>
      <c r="H483" s="685">
        <v>33218</v>
      </c>
      <c r="I483" s="685">
        <v>29897</v>
      </c>
      <c r="J483" s="685">
        <v>3321</v>
      </c>
      <c r="K483" s="685">
        <v>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thickBot="1" x14ac:dyDescent="0.25">
      <c r="A484" s="1"/>
      <c r="B484" s="1"/>
      <c r="C484" s="1"/>
      <c r="D484" s="1"/>
      <c r="E484" s="1"/>
      <c r="F484" s="683" t="s">
        <v>54</v>
      </c>
      <c r="G484" s="684">
        <v>2018</v>
      </c>
      <c r="H484" s="685">
        <v>64991</v>
      </c>
      <c r="I484" s="685">
        <v>58492</v>
      </c>
      <c r="J484" s="685">
        <v>6499</v>
      </c>
      <c r="K484" s="685">
        <v>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thickBot="1" x14ac:dyDescent="0.25">
      <c r="A485" s="1"/>
      <c r="B485" s="1"/>
      <c r="C485" s="1"/>
      <c r="D485" s="1"/>
      <c r="E485" s="1"/>
      <c r="F485" s="683" t="s">
        <v>293</v>
      </c>
      <c r="G485" s="684">
        <v>2018</v>
      </c>
      <c r="H485" s="685">
        <v>56861</v>
      </c>
      <c r="I485" s="685">
        <v>44963</v>
      </c>
      <c r="J485" s="685">
        <v>7655</v>
      </c>
      <c r="K485" s="685">
        <v>4243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thickBot="1" x14ac:dyDescent="0.25">
      <c r="A486" s="1"/>
      <c r="B486" s="1"/>
      <c r="C486" s="1"/>
      <c r="D486" s="1"/>
      <c r="E486" s="1"/>
      <c r="F486" s="683" t="s">
        <v>53</v>
      </c>
      <c r="G486" s="684">
        <v>2018</v>
      </c>
      <c r="H486" s="685">
        <v>67800</v>
      </c>
      <c r="I486" s="685">
        <v>64528</v>
      </c>
      <c r="J486" s="685">
        <v>3272</v>
      </c>
      <c r="K486" s="685">
        <v>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thickBot="1" x14ac:dyDescent="0.25">
      <c r="A487" s="1"/>
      <c r="B487" s="1"/>
      <c r="C487" s="1"/>
      <c r="D487" s="1"/>
      <c r="E487" s="1"/>
      <c r="F487" s="683" t="s">
        <v>52</v>
      </c>
      <c r="G487" s="684">
        <v>2018</v>
      </c>
      <c r="H487" s="685">
        <v>20000</v>
      </c>
      <c r="I487" s="685">
        <v>18000</v>
      </c>
      <c r="J487" s="685">
        <v>2000</v>
      </c>
      <c r="K487" s="685">
        <v>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thickBot="1" x14ac:dyDescent="0.25">
      <c r="A488" s="1"/>
      <c r="B488" s="1"/>
      <c r="C488" s="1"/>
      <c r="D488" s="1"/>
      <c r="E488" s="1"/>
      <c r="F488" s="683" t="s">
        <v>66</v>
      </c>
      <c r="G488" s="684">
        <v>2019</v>
      </c>
      <c r="H488" s="685">
        <v>606410</v>
      </c>
      <c r="I488" s="685">
        <v>412244</v>
      </c>
      <c r="J488" s="685">
        <v>126513</v>
      </c>
      <c r="K488" s="685">
        <v>67653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thickBot="1" x14ac:dyDescent="0.25">
      <c r="A489" s="1"/>
      <c r="B489" s="1"/>
      <c r="C489" s="1"/>
      <c r="D489" s="1"/>
      <c r="E489" s="1"/>
      <c r="F489" s="683" t="s">
        <v>67</v>
      </c>
      <c r="G489" s="684">
        <v>2019</v>
      </c>
      <c r="H489" s="685">
        <v>39376</v>
      </c>
      <c r="I489" s="685">
        <v>32958</v>
      </c>
      <c r="J489" s="685">
        <v>5562</v>
      </c>
      <c r="K489" s="685">
        <v>856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thickBot="1" x14ac:dyDescent="0.25">
      <c r="A490" s="1"/>
      <c r="B490" s="1"/>
      <c r="C490" s="1"/>
      <c r="D490" s="1"/>
      <c r="E490" s="1"/>
      <c r="F490" s="683" t="s">
        <v>68</v>
      </c>
      <c r="G490" s="684">
        <v>2019</v>
      </c>
      <c r="H490" s="685">
        <v>37741</v>
      </c>
      <c r="I490" s="685">
        <v>31124</v>
      </c>
      <c r="J490" s="685">
        <v>5235</v>
      </c>
      <c r="K490" s="685">
        <v>1382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thickBot="1" x14ac:dyDescent="0.25">
      <c r="A491" s="1"/>
      <c r="B491" s="1"/>
      <c r="C491" s="1"/>
      <c r="D491" s="1"/>
      <c r="E491" s="1"/>
      <c r="F491" s="683" t="s">
        <v>69</v>
      </c>
      <c r="G491" s="684">
        <v>2019</v>
      </c>
      <c r="H491" s="685">
        <v>30836</v>
      </c>
      <c r="I491" s="685">
        <v>26981</v>
      </c>
      <c r="J491" s="685">
        <v>3855</v>
      </c>
      <c r="K491" s="685">
        <v>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thickBot="1" x14ac:dyDescent="0.25">
      <c r="A492" s="1"/>
      <c r="B492" s="1"/>
      <c r="C492" s="1"/>
      <c r="D492" s="1"/>
      <c r="E492" s="1"/>
      <c r="F492" s="683" t="s">
        <v>485</v>
      </c>
      <c r="G492" s="684">
        <v>2019</v>
      </c>
      <c r="H492" s="685">
        <v>61671</v>
      </c>
      <c r="I492" s="685">
        <v>53962</v>
      </c>
      <c r="J492" s="685">
        <v>7709</v>
      </c>
      <c r="K492" s="685">
        <v>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thickBot="1" x14ac:dyDescent="0.25">
      <c r="A493" s="1"/>
      <c r="B493" s="1"/>
      <c r="C493" s="1"/>
      <c r="D493" s="1"/>
      <c r="E493" s="1"/>
      <c r="F493" s="683" t="s">
        <v>71</v>
      </c>
      <c r="G493" s="684">
        <v>2019</v>
      </c>
      <c r="H493" s="685">
        <v>16042</v>
      </c>
      <c r="I493" s="685">
        <v>10504</v>
      </c>
      <c r="J493" s="685">
        <v>3208</v>
      </c>
      <c r="K493" s="685">
        <v>2330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thickBot="1" x14ac:dyDescent="0.25">
      <c r="A494" s="1"/>
      <c r="B494" s="1"/>
      <c r="C494" s="1"/>
      <c r="D494" s="1"/>
      <c r="E494" s="1"/>
      <c r="F494" s="683" t="s">
        <v>72</v>
      </c>
      <c r="G494" s="684">
        <v>2019</v>
      </c>
      <c r="H494" s="685">
        <v>14640</v>
      </c>
      <c r="I494" s="685">
        <v>10248</v>
      </c>
      <c r="J494" s="685">
        <v>2928</v>
      </c>
      <c r="K494" s="685">
        <v>1464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thickBot="1" x14ac:dyDescent="0.25">
      <c r="A495" s="1"/>
      <c r="B495" s="1"/>
      <c r="C495" s="1"/>
      <c r="D495" s="1"/>
      <c r="E495" s="1"/>
      <c r="F495" s="683" t="s">
        <v>74</v>
      </c>
      <c r="G495" s="684">
        <v>2019</v>
      </c>
      <c r="H495" s="685">
        <v>11586</v>
      </c>
      <c r="I495" s="685">
        <v>8109</v>
      </c>
      <c r="J495" s="685">
        <v>2317</v>
      </c>
      <c r="K495" s="685">
        <v>1160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thickBot="1" x14ac:dyDescent="0.25">
      <c r="A496" s="1"/>
      <c r="B496" s="1"/>
      <c r="C496" s="1"/>
      <c r="D496" s="1"/>
      <c r="E496" s="1"/>
      <c r="F496" s="683" t="s">
        <v>75</v>
      </c>
      <c r="G496" s="684">
        <v>2019</v>
      </c>
      <c r="H496" s="685">
        <v>21313</v>
      </c>
      <c r="I496" s="685">
        <v>14919</v>
      </c>
      <c r="J496" s="685">
        <v>4263</v>
      </c>
      <c r="K496" s="685">
        <v>2131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thickBot="1" x14ac:dyDescent="0.25">
      <c r="A497" s="1"/>
      <c r="B497" s="1"/>
      <c r="C497" s="1"/>
      <c r="D497" s="1"/>
      <c r="E497" s="1"/>
      <c r="F497" s="683" t="s">
        <v>657</v>
      </c>
      <c r="G497" s="684">
        <v>2020</v>
      </c>
      <c r="H497" s="685">
        <v>80061</v>
      </c>
      <c r="I497" s="685">
        <v>52537</v>
      </c>
      <c r="J497" s="685">
        <v>16138</v>
      </c>
      <c r="K497" s="685">
        <v>11386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thickBot="1" x14ac:dyDescent="0.25">
      <c r="A498" s="1"/>
      <c r="B498" s="1"/>
      <c r="C498" s="1"/>
      <c r="D498" s="1"/>
      <c r="E498" s="1"/>
      <c r="F498" s="683" t="s">
        <v>45</v>
      </c>
      <c r="G498" s="684">
        <v>2020</v>
      </c>
      <c r="H498" s="685">
        <v>83391</v>
      </c>
      <c r="I498" s="685">
        <v>33097</v>
      </c>
      <c r="J498" s="685">
        <v>19036</v>
      </c>
      <c r="K498" s="685">
        <v>31258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thickBot="1" x14ac:dyDescent="0.25">
      <c r="A499" s="1"/>
      <c r="B499" s="1"/>
      <c r="C499" s="1"/>
      <c r="D499" s="1"/>
      <c r="E499" s="1"/>
      <c r="F499" s="683" t="s">
        <v>46</v>
      </c>
      <c r="G499" s="684">
        <v>2020</v>
      </c>
      <c r="H499" s="685">
        <v>104990</v>
      </c>
      <c r="I499" s="685">
        <v>46115</v>
      </c>
      <c r="J499" s="685">
        <v>23247</v>
      </c>
      <c r="K499" s="685">
        <v>35628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thickBot="1" x14ac:dyDescent="0.25">
      <c r="A500" s="1"/>
      <c r="B500" s="1"/>
      <c r="C500" s="1"/>
      <c r="D500" s="1"/>
      <c r="E500" s="1"/>
      <c r="F500" s="683" t="s">
        <v>41</v>
      </c>
      <c r="G500" s="684">
        <v>2021</v>
      </c>
      <c r="H500" s="685">
        <v>485045</v>
      </c>
      <c r="I500" s="685">
        <v>132706</v>
      </c>
      <c r="J500" s="685">
        <v>100668</v>
      </c>
      <c r="K500" s="685">
        <v>251671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thickBot="1" x14ac:dyDescent="0.25">
      <c r="A501" s="1"/>
      <c r="B501" s="1"/>
      <c r="C501" s="1"/>
      <c r="D501" s="1"/>
      <c r="E501" s="1"/>
      <c r="F501" s="683" t="s">
        <v>753</v>
      </c>
      <c r="G501" s="684">
        <v>2021</v>
      </c>
      <c r="H501" s="685">
        <v>19649</v>
      </c>
      <c r="I501" s="685">
        <v>7368</v>
      </c>
      <c r="J501" s="685">
        <v>4912</v>
      </c>
      <c r="K501" s="685">
        <v>7369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thickBot="1" x14ac:dyDescent="0.25">
      <c r="A502" s="1"/>
      <c r="B502" s="1"/>
      <c r="C502" s="1"/>
      <c r="D502" s="1"/>
      <c r="E502" s="1"/>
      <c r="F502" s="683" t="s">
        <v>603</v>
      </c>
      <c r="G502" s="684">
        <v>2021</v>
      </c>
      <c r="H502" s="685">
        <v>26382</v>
      </c>
      <c r="I502" s="685">
        <v>7914</v>
      </c>
      <c r="J502" s="685">
        <v>5276</v>
      </c>
      <c r="K502" s="685">
        <v>13192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thickBot="1" x14ac:dyDescent="0.25">
      <c r="A503" s="1"/>
      <c r="B503" s="1"/>
      <c r="C503" s="1"/>
      <c r="D503" s="1"/>
      <c r="E503" s="1"/>
      <c r="F503" s="683" t="s">
        <v>710</v>
      </c>
      <c r="G503" s="684">
        <v>2021</v>
      </c>
      <c r="H503" s="685">
        <v>40188</v>
      </c>
      <c r="I503" s="685">
        <v>9029</v>
      </c>
      <c r="J503" s="685">
        <v>8730</v>
      </c>
      <c r="K503" s="685">
        <v>22429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thickBot="1" x14ac:dyDescent="0.25">
      <c r="A504" s="1"/>
      <c r="B504" s="1"/>
      <c r="C504" s="1"/>
      <c r="D504" s="1"/>
      <c r="E504" s="1"/>
      <c r="F504" s="683" t="s">
        <v>47</v>
      </c>
      <c r="G504" s="687">
        <v>2022</v>
      </c>
      <c r="H504" s="688">
        <v>14518</v>
      </c>
      <c r="I504" s="685">
        <v>1452</v>
      </c>
      <c r="J504" s="685">
        <v>2904</v>
      </c>
      <c r="K504" s="685">
        <v>10162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thickBot="1" x14ac:dyDescent="0.25">
      <c r="A505" s="1"/>
      <c r="B505" s="1"/>
      <c r="C505" s="1"/>
      <c r="D505" s="1"/>
      <c r="E505" s="1"/>
      <c r="F505" s="683" t="s">
        <v>755</v>
      </c>
      <c r="G505" s="687">
        <v>2023</v>
      </c>
      <c r="H505" s="688">
        <v>9526</v>
      </c>
      <c r="I505" s="685">
        <v>0</v>
      </c>
      <c r="J505" s="685">
        <v>953</v>
      </c>
      <c r="K505" s="685">
        <v>8573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thickBot="1" x14ac:dyDescent="0.25">
      <c r="A506" s="1"/>
      <c r="B506" s="1"/>
      <c r="C506" s="1"/>
      <c r="D506" s="1"/>
      <c r="E506" s="1"/>
      <c r="F506" s="683" t="s">
        <v>977</v>
      </c>
      <c r="G506" s="687">
        <v>2022</v>
      </c>
      <c r="H506" s="688">
        <v>24186</v>
      </c>
      <c r="I506" s="685">
        <v>0</v>
      </c>
      <c r="J506" s="685">
        <v>2435</v>
      </c>
      <c r="K506" s="685">
        <v>21751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692">
        <f>SUM(H473:H506)</f>
        <v>2826740</v>
      </c>
      <c r="I507" s="692">
        <f t="shared" ref="I507:K507" si="47">SUM(I473:I506)</f>
        <v>1877532</v>
      </c>
      <c r="J507" s="692">
        <f t="shared" si="47"/>
        <v>435486</v>
      </c>
      <c r="K507" s="692">
        <f t="shared" si="47"/>
        <v>513722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1:25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1:25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1:25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1:25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1:25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1:25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1:25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 spans="1:25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 spans="1:25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 spans="1:25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 spans="1:25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 spans="1:25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 spans="1:25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 spans="1:25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 spans="1:25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</row>
    <row r="1059" spans="1:25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</row>
    <row r="1060" spans="1:25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</row>
    <row r="1061" spans="1:25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</row>
    <row r="1062" spans="1:25" ht="12.7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</row>
    <row r="1063" spans="1:25" ht="12.75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</row>
    <row r="1064" spans="1:25" ht="12.75" customHeigh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</row>
    <row r="1065" spans="1:25" ht="12.75" customHeigh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</row>
    <row r="1066" spans="1:25" ht="12.75" customHeigh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</row>
    <row r="1067" spans="1:25" ht="12.75" customHeigh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</row>
    <row r="1068" spans="1:25" ht="12.75" customHeigh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</row>
    <row r="1069" spans="1:25" ht="12.75" customHeigh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</row>
    <row r="1070" spans="1:25" ht="12.75" customHeigh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</row>
    <row r="1071" spans="1:25" ht="12.75" customHeigh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</row>
    <row r="1072" spans="1:25" ht="12.75" customHeigh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</row>
    <row r="1073" spans="1:25" ht="12.75" customHeigh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</row>
    <row r="1074" spans="1:25" ht="12.75" customHeigh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</row>
    <row r="1075" spans="1:25" ht="12.75" customHeigh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</row>
    <row r="1076" spans="1:25" ht="12.75" customHeigh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</row>
    <row r="1077" spans="1:25" ht="12.75" customHeigh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</row>
    <row r="1078" spans="1:25" ht="12.75" customHeigh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</row>
    <row r="1079" spans="1:25" ht="12.75" customHeigh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</row>
    <row r="1080" spans="1:25" ht="12.75" customHeigh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</row>
    <row r="1081" spans="1:25" ht="12.75" customHeigh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</row>
    <row r="1082" spans="1:25" ht="12.75" customHeigh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</row>
    <row r="1083" spans="1:25" ht="12.75" customHeigh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</row>
    <row r="1084" spans="1:25" ht="12.75" customHeigh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</row>
    <row r="1085" spans="1:25" ht="12.75" customHeigh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</row>
    <row r="1086" spans="1:25" ht="12.75" customHeigh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</row>
    <row r="1087" spans="1:25" ht="12.75" customHeigh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</row>
    <row r="1088" spans="1:25" ht="12.75" customHeigh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</row>
    <row r="1089" spans="1:25" ht="12.75" customHeigh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</row>
    <row r="1090" spans="1:25" ht="12.75" customHeigh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</row>
    <row r="1091" spans="1:25" ht="12.75" customHeigh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</row>
    <row r="1092" spans="1:25" ht="12.75" customHeigh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</row>
    <row r="1093" spans="1:25" ht="12.75" customHeigh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</row>
    <row r="1094" spans="1:25" ht="12.75" customHeigh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</row>
    <row r="1095" spans="1:25" ht="12.75" customHeigh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</row>
    <row r="1096" spans="1:25" ht="12.75" customHeigh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</row>
    <row r="1097" spans="1:25" ht="12.75" customHeigh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</row>
    <row r="1098" spans="1:25" ht="12.75" customHeigh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</row>
    <row r="1099" spans="1:25" ht="12.75" customHeigh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</row>
    <row r="1100" spans="1:25" ht="12.75" customHeigh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</row>
    <row r="1101" spans="1:25" ht="12.75" customHeigh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</row>
    <row r="1102" spans="1:25" ht="12.75" customHeigh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</row>
    <row r="1103" spans="1:25" ht="12.75" customHeigh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</row>
    <row r="1104" spans="1:25" ht="12.75" customHeigh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</row>
    <row r="1105" spans="1:25" ht="12.75" customHeigh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</row>
    <row r="1106" spans="1:25" ht="12.75" customHeigh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</row>
    <row r="1107" spans="1:25" ht="12.75" customHeigh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</row>
    <row r="1108" spans="1:25" ht="12.75" customHeigh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</row>
    <row r="1109" spans="1:25" ht="12.75" customHeigh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 ht="12.75" customHeigh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</row>
    <row r="1111" spans="1:25" ht="12.75" customHeigh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</row>
    <row r="1112" spans="1:25" ht="12.75" customHeigh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</row>
    <row r="1113" spans="1:25" ht="12.75" customHeigh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</row>
    <row r="1114" spans="1:25" ht="12.75" customHeigh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</row>
    <row r="1115" spans="1:25" ht="12.75" customHeigh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</row>
    <row r="1116" spans="1:25" ht="12.75" customHeigh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</row>
    <row r="1117" spans="1:25" ht="12.75" customHeigh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</row>
    <row r="1118" spans="1:25" ht="12.75" customHeigh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</row>
    <row r="1119" spans="1:25" ht="12.75" customHeigh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</row>
    <row r="1120" spans="1:25" ht="12.75" customHeigh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</row>
    <row r="1121" spans="1:25" ht="12.75" customHeigh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</row>
    <row r="1122" spans="1:25" ht="12.75" customHeigh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</row>
    <row r="1123" spans="1:25" ht="12.75" customHeigh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</row>
    <row r="1124" spans="1:25" ht="12.75" customHeigh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</row>
    <row r="1125" spans="1:25" ht="12.75" customHeigh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</row>
    <row r="1126" spans="1:25" ht="12.75" customHeigh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</row>
    <row r="1127" spans="1:25" ht="12.75" customHeigh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</row>
    <row r="1128" spans="1:25" ht="12.75" customHeigh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</row>
    <row r="1129" spans="1:25" ht="12.75" customHeigh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</row>
    <row r="1130" spans="1:25" ht="12.75" customHeigh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</row>
    <row r="1131" spans="1:25" ht="12.75" customHeigh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</row>
    <row r="1132" spans="1:25" ht="12.75" customHeigh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</row>
    <row r="1133" spans="1:25" ht="12.75" customHeigh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</row>
    <row r="1134" spans="1:25" ht="12.75" customHeigh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</row>
    <row r="1135" spans="1:25" ht="12.75" customHeigh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</row>
    <row r="1136" spans="1:25" ht="12.75" customHeigh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</row>
    <row r="1137" spans="1:25" ht="12.75" customHeigh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</row>
    <row r="1138" spans="1:25" ht="12.75" customHeigh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</row>
    <row r="1139" spans="1:25" ht="12.75" customHeigh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</row>
    <row r="1140" spans="1:25" ht="12.75" customHeigh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</row>
    <row r="1141" spans="1:25" ht="12.75" customHeigh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</row>
    <row r="1142" spans="1:25" ht="12.75" customHeigh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</row>
    <row r="1143" spans="1:25" ht="12.75" customHeigh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</row>
    <row r="1144" spans="1:25" ht="12.75" customHeigh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</row>
    <row r="1145" spans="1:25" ht="12.75" customHeigh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</row>
    <row r="1146" spans="1:25" ht="12.75" customHeigh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</row>
    <row r="1147" spans="1:25" ht="12.75" customHeigh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</row>
    <row r="1148" spans="1:25" ht="12.75" customHeigh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</row>
    <row r="1149" spans="1:25" ht="12.75" customHeigh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</row>
    <row r="1150" spans="1:25" ht="12.75" customHeigh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</row>
    <row r="1151" spans="1:25" ht="12.75" customHeigh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</row>
    <row r="1152" spans="1:25" ht="12.75" customHeigh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</row>
    <row r="1153" spans="1:25" ht="12.75" customHeigh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</row>
    <row r="1154" spans="1:25" ht="12.75" customHeigh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</row>
    <row r="1155" spans="1:25" ht="12.75" customHeigh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</row>
    <row r="1156" spans="1:25" ht="12.75" customHeigh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</row>
    <row r="1157" spans="1:25" ht="12.75" customHeigh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</row>
    <row r="1158" spans="1:25" ht="12.75" customHeigh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</row>
    <row r="1159" spans="1:25" ht="12.75" customHeigh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</row>
    <row r="1160" spans="1:25" ht="12.75" customHeigh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</row>
    <row r="1161" spans="1:25" ht="12.75" customHeigh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</row>
    <row r="1162" spans="1:25" ht="12.75" customHeigh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</row>
    <row r="1163" spans="1:25" ht="12.75" customHeigh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</row>
    <row r="1164" spans="1:25" ht="12.75" customHeigh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</row>
    <row r="1165" spans="1:25" ht="12.75" customHeigh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 ht="12.75" customHeigh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</row>
    <row r="1167" spans="1:25" ht="12.75" customHeigh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</row>
    <row r="1168" spans="1:25" ht="12.75" customHeigh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</row>
    <row r="1169" spans="1:25" ht="12.75" customHeigh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</row>
    <row r="1170" spans="1:25" ht="12.75" customHeigh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</row>
    <row r="1171" spans="1:25" ht="12.75" customHeigh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</row>
    <row r="1172" spans="1:25" ht="12.75" customHeigh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</row>
    <row r="1173" spans="1:25" ht="12.75" customHeigh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</row>
    <row r="1174" spans="1:25" ht="12.75" customHeigh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</row>
    <row r="1175" spans="1:25" ht="12.75" customHeigh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</row>
    <row r="1176" spans="1:25" ht="12.75" customHeigh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</row>
    <row r="1177" spans="1:25" ht="12.75" customHeigh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</row>
    <row r="1178" spans="1:25" ht="12.75" customHeigh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</row>
    <row r="1179" spans="1:25" ht="12.75" customHeigh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</row>
  </sheetData>
  <mergeCells count="70">
    <mergeCell ref="B322:C322"/>
    <mergeCell ref="E322:J322"/>
    <mergeCell ref="B272:C272"/>
    <mergeCell ref="E272:J272"/>
    <mergeCell ref="E262:K262"/>
    <mergeCell ref="B283:C283"/>
    <mergeCell ref="E283:J283"/>
    <mergeCell ref="B294:C294"/>
    <mergeCell ref="E294:J294"/>
    <mergeCell ref="B302:C302"/>
    <mergeCell ref="E302:J302"/>
    <mergeCell ref="B239:C239"/>
    <mergeCell ref="E239:J239"/>
    <mergeCell ref="B250:C250"/>
    <mergeCell ref="B262:C262"/>
    <mergeCell ref="E250:L250"/>
    <mergeCell ref="B230:C230"/>
    <mergeCell ref="E230:J230"/>
    <mergeCell ref="B168:C168"/>
    <mergeCell ref="B177:C177"/>
    <mergeCell ref="E177:J177"/>
    <mergeCell ref="B186:C186"/>
    <mergeCell ref="E186:J186"/>
    <mergeCell ref="B194:C194"/>
    <mergeCell ref="E194:J194"/>
    <mergeCell ref="B203:C203"/>
    <mergeCell ref="B212:C212"/>
    <mergeCell ref="E212:J212"/>
    <mergeCell ref="B221:C221"/>
    <mergeCell ref="E221:J221"/>
    <mergeCell ref="E203:K203"/>
    <mergeCell ref="B149:C149"/>
    <mergeCell ref="E149:J149"/>
    <mergeCell ref="B158:C158"/>
    <mergeCell ref="E168:J168"/>
    <mergeCell ref="E158:K158"/>
    <mergeCell ref="B122:C122"/>
    <mergeCell ref="E122:J122"/>
    <mergeCell ref="B131:C131"/>
    <mergeCell ref="B140:C140"/>
    <mergeCell ref="E140:J140"/>
    <mergeCell ref="E131:K131"/>
    <mergeCell ref="B93:C93"/>
    <mergeCell ref="E93:J93"/>
    <mergeCell ref="E102:J102"/>
    <mergeCell ref="B102:C102"/>
    <mergeCell ref="B113:C113"/>
    <mergeCell ref="E113:J113"/>
    <mergeCell ref="B5:C5"/>
    <mergeCell ref="E5:M5"/>
    <mergeCell ref="B19:C19"/>
    <mergeCell ref="E19:I19"/>
    <mergeCell ref="B28:C28"/>
    <mergeCell ref="E28:L28"/>
    <mergeCell ref="B330:C330"/>
    <mergeCell ref="E330:J330"/>
    <mergeCell ref="B313:C313"/>
    <mergeCell ref="E313:J313"/>
    <mergeCell ref="E37:I37"/>
    <mergeCell ref="B37:C37"/>
    <mergeCell ref="B46:C46"/>
    <mergeCell ref="B57:C57"/>
    <mergeCell ref="E57:J57"/>
    <mergeCell ref="E46:K46"/>
    <mergeCell ref="B66:C66"/>
    <mergeCell ref="E66:J66"/>
    <mergeCell ref="B75:C75"/>
    <mergeCell ref="E75:J75"/>
    <mergeCell ref="B84:C84"/>
    <mergeCell ref="E84:K84"/>
  </mergeCells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947"/>
  <sheetViews>
    <sheetView topLeftCell="A37" zoomScale="151" zoomScaleNormal="151" workbookViewId="0">
      <selection activeCell="E64" sqref="E64"/>
    </sheetView>
  </sheetViews>
  <sheetFormatPr baseColWidth="10" defaultColWidth="14.5" defaultRowHeight="15" customHeight="1" x14ac:dyDescent="0.15"/>
  <cols>
    <col min="1" max="1" width="8.83203125" customWidth="1"/>
    <col min="2" max="2" width="30.6640625" customWidth="1"/>
    <col min="3" max="3" width="13.83203125" customWidth="1"/>
    <col min="4" max="5" width="8.83203125" customWidth="1"/>
    <col min="6" max="6" width="30.33203125" customWidth="1"/>
    <col min="7" max="7" width="12.1640625" customWidth="1"/>
    <col min="8" max="9" width="8.83203125" customWidth="1"/>
    <col min="10" max="10" width="23.83203125" customWidth="1"/>
    <col min="11" max="11" width="13.83203125" customWidth="1"/>
    <col min="12" max="13" width="8.83203125" customWidth="1"/>
    <col min="14" max="14" width="29.83203125" bestFit="1" customWidth="1"/>
    <col min="15" max="15" width="10.33203125" bestFit="1" customWidth="1"/>
    <col min="16" max="20" width="8.83203125" customWidth="1"/>
  </cols>
  <sheetData>
    <row r="1" spans="2:15" ht="12.75" customHeight="1" x14ac:dyDescent="0.15"/>
    <row r="2" spans="2:15" ht="12.75" customHeight="1" x14ac:dyDescent="0.15"/>
    <row r="3" spans="2:15" ht="12.75" customHeight="1" x14ac:dyDescent="0.15"/>
    <row r="4" spans="2:15" ht="12.75" customHeight="1" x14ac:dyDescent="0.15">
      <c r="F4" s="158"/>
      <c r="G4" s="158"/>
      <c r="H4" s="158"/>
      <c r="I4" s="158"/>
      <c r="J4" s="158"/>
      <c r="K4" s="158"/>
    </row>
    <row r="5" spans="2:15" ht="12.75" customHeight="1" x14ac:dyDescent="0.2">
      <c r="B5" s="662" t="s">
        <v>14</v>
      </c>
      <c r="C5" s="662"/>
      <c r="F5" s="662" t="s">
        <v>752</v>
      </c>
      <c r="G5" s="662"/>
      <c r="H5" s="158"/>
      <c r="I5" s="158"/>
      <c r="J5" s="662" t="s">
        <v>895</v>
      </c>
      <c r="K5" s="662"/>
      <c r="N5" s="662" t="s">
        <v>967</v>
      </c>
      <c r="O5" s="662"/>
    </row>
    <row r="6" spans="2:15" ht="12.75" customHeight="1" x14ac:dyDescent="0.2">
      <c r="B6" s="58" t="s">
        <v>966</v>
      </c>
      <c r="C6" s="663">
        <v>39800</v>
      </c>
      <c r="F6" s="58" t="s">
        <v>966</v>
      </c>
      <c r="G6" s="663">
        <v>12295.08</v>
      </c>
      <c r="H6" s="158"/>
      <c r="I6" s="158"/>
      <c r="J6" s="58" t="s">
        <v>966</v>
      </c>
      <c r="K6" s="663">
        <v>9000</v>
      </c>
      <c r="N6" s="58" t="s">
        <v>966</v>
      </c>
      <c r="O6" s="663">
        <v>12000</v>
      </c>
    </row>
    <row r="7" spans="2:15" ht="12.75" customHeight="1" x14ac:dyDescent="0.15">
      <c r="B7" s="664" t="s">
        <v>359</v>
      </c>
      <c r="C7" s="665"/>
      <c r="F7" s="664" t="s">
        <v>359</v>
      </c>
      <c r="G7" s="665"/>
      <c r="H7" s="158"/>
      <c r="I7" s="158"/>
      <c r="J7" s="664" t="s">
        <v>359</v>
      </c>
      <c r="K7" s="665"/>
      <c r="N7" s="664" t="s">
        <v>359</v>
      </c>
      <c r="O7" s="665"/>
    </row>
    <row r="8" spans="2:15" ht="12.75" customHeight="1" x14ac:dyDescent="0.2">
      <c r="B8" s="666" t="s">
        <v>360</v>
      </c>
      <c r="C8" s="667"/>
      <c r="F8" s="666" t="s">
        <v>360</v>
      </c>
      <c r="G8" s="667"/>
      <c r="H8" s="158"/>
      <c r="I8" s="158"/>
      <c r="J8" s="666" t="s">
        <v>360</v>
      </c>
      <c r="K8" s="667"/>
      <c r="N8" s="666" t="s">
        <v>360</v>
      </c>
      <c r="O8" s="667"/>
    </row>
    <row r="9" spans="2:15" ht="12.75" customHeight="1" x14ac:dyDescent="0.2">
      <c r="B9" s="666" t="s">
        <v>95</v>
      </c>
      <c r="C9" s="668"/>
      <c r="F9" s="666" t="s">
        <v>95</v>
      </c>
      <c r="G9" s="668"/>
      <c r="H9" s="158"/>
      <c r="I9" s="158"/>
      <c r="J9" s="666" t="s">
        <v>95</v>
      </c>
      <c r="K9" s="668"/>
      <c r="N9" s="666" t="s">
        <v>95</v>
      </c>
      <c r="O9" s="668"/>
    </row>
    <row r="10" spans="2:15" ht="12.75" customHeight="1" x14ac:dyDescent="0.2">
      <c r="B10" s="666" t="s">
        <v>361</v>
      </c>
      <c r="C10" s="667">
        <v>37270</v>
      </c>
      <c r="F10" s="666" t="s">
        <v>361</v>
      </c>
      <c r="G10" s="667">
        <v>11450</v>
      </c>
      <c r="H10" s="158"/>
      <c r="I10" s="158"/>
      <c r="J10" s="666" t="s">
        <v>361</v>
      </c>
      <c r="K10" s="667">
        <v>8400</v>
      </c>
      <c r="N10" s="666" t="s">
        <v>361</v>
      </c>
      <c r="O10" s="667">
        <v>11200</v>
      </c>
    </row>
    <row r="11" spans="2:15" ht="12.75" customHeight="1" x14ac:dyDescent="0.2">
      <c r="B11" s="666" t="s">
        <v>750</v>
      </c>
      <c r="C11" s="668"/>
      <c r="F11" s="666" t="s">
        <v>362</v>
      </c>
      <c r="G11" s="668"/>
      <c r="H11" s="158"/>
      <c r="I11" s="158"/>
      <c r="J11" s="666" t="s">
        <v>362</v>
      </c>
      <c r="K11" s="668"/>
      <c r="N11" s="666" t="s">
        <v>362</v>
      </c>
      <c r="O11" s="668"/>
    </row>
    <row r="12" spans="2:15" ht="12.75" customHeight="1" x14ac:dyDescent="0.2">
      <c r="B12" s="669" t="s">
        <v>149</v>
      </c>
      <c r="C12" s="670">
        <f>SUM(C7:C11)</f>
        <v>37270</v>
      </c>
      <c r="F12" s="669" t="s">
        <v>149</v>
      </c>
      <c r="G12" s="670">
        <f>SUM(G7:G11)</f>
        <v>11450</v>
      </c>
      <c r="H12" s="158"/>
      <c r="I12" s="158"/>
      <c r="J12" s="669" t="s">
        <v>149</v>
      </c>
      <c r="K12" s="670">
        <f>SUM(K7:K11)</f>
        <v>8400</v>
      </c>
      <c r="N12" s="669" t="s">
        <v>149</v>
      </c>
      <c r="O12" s="670">
        <f>SUM(O7:O11)</f>
        <v>11200</v>
      </c>
    </row>
    <row r="13" spans="2:15" ht="12.75" customHeight="1" x14ac:dyDescent="0.2">
      <c r="B13" s="669" t="s">
        <v>363</v>
      </c>
      <c r="C13" s="670">
        <f>+C6-C12</f>
        <v>2530</v>
      </c>
      <c r="F13" s="669" t="s">
        <v>363</v>
      </c>
      <c r="G13" s="670">
        <f>+G6-G12</f>
        <v>845.07999999999993</v>
      </c>
      <c r="H13" s="158"/>
      <c r="I13" s="158"/>
      <c r="J13" s="669" t="s">
        <v>363</v>
      </c>
      <c r="K13" s="670">
        <f>+K6-K12</f>
        <v>600</v>
      </c>
      <c r="N13" s="669" t="s">
        <v>363</v>
      </c>
      <c r="O13" s="670">
        <f>+O6-O12</f>
        <v>800</v>
      </c>
    </row>
    <row r="14" spans="2:15" ht="12.75" customHeight="1" x14ac:dyDescent="0.2">
      <c r="B14" s="666" t="s">
        <v>364</v>
      </c>
      <c r="C14" s="667">
        <v>607</v>
      </c>
      <c r="F14" s="666" t="s">
        <v>364</v>
      </c>
      <c r="G14" s="667">
        <v>232</v>
      </c>
      <c r="H14" s="158"/>
      <c r="I14" s="158"/>
      <c r="J14" s="666" t="s">
        <v>364</v>
      </c>
      <c r="K14" s="667">
        <v>165</v>
      </c>
      <c r="N14" s="666" t="s">
        <v>364</v>
      </c>
      <c r="O14" s="667">
        <v>220</v>
      </c>
    </row>
    <row r="15" spans="2:15" ht="12.75" customHeight="1" x14ac:dyDescent="0.2">
      <c r="B15" s="666" t="s">
        <v>340</v>
      </c>
      <c r="C15" s="667">
        <v>1918</v>
      </c>
      <c r="F15" s="666" t="s">
        <v>340</v>
      </c>
      <c r="G15" s="667">
        <v>593</v>
      </c>
      <c r="H15" s="158"/>
      <c r="I15" s="158"/>
      <c r="J15" s="666" t="s">
        <v>340</v>
      </c>
      <c r="K15" s="667">
        <v>434</v>
      </c>
      <c r="N15" s="666" t="s">
        <v>340</v>
      </c>
      <c r="O15" s="667">
        <v>578</v>
      </c>
    </row>
    <row r="16" spans="2:15" ht="12.75" customHeight="1" x14ac:dyDescent="0.2">
      <c r="B16" s="669" t="s">
        <v>365</v>
      </c>
      <c r="C16" s="670">
        <f>+C13-C14-C15</f>
        <v>5</v>
      </c>
      <c r="F16" s="669" t="s">
        <v>365</v>
      </c>
      <c r="G16" s="670">
        <f>+G13-G14-G15</f>
        <v>20.079999999999927</v>
      </c>
      <c r="H16" s="158"/>
      <c r="I16" s="158"/>
      <c r="J16" s="669" t="s">
        <v>365</v>
      </c>
      <c r="K16" s="670">
        <f>+K13-K14-K15</f>
        <v>1</v>
      </c>
      <c r="N16" s="669" t="s">
        <v>365</v>
      </c>
      <c r="O16" s="670">
        <f>+O13-O14-O15</f>
        <v>2</v>
      </c>
    </row>
    <row r="17" spans="2:15" ht="12.75" customHeight="1" x14ac:dyDescent="0.2">
      <c r="F17" s="158"/>
      <c r="G17" s="158"/>
      <c r="H17" s="158"/>
      <c r="I17" s="158"/>
      <c r="J17" s="671"/>
      <c r="K17" s="672"/>
    </row>
    <row r="18" spans="2:15" ht="12.75" customHeight="1" x14ac:dyDescent="0.2">
      <c r="B18" s="89"/>
      <c r="C18" s="88"/>
      <c r="F18" s="158"/>
      <c r="G18" s="158"/>
      <c r="H18" s="158"/>
      <c r="I18" s="158"/>
      <c r="J18" s="158"/>
      <c r="K18" s="158"/>
    </row>
    <row r="19" spans="2:15" ht="12.75" customHeight="1" x14ac:dyDescent="0.15">
      <c r="F19" s="158"/>
      <c r="G19" s="158"/>
      <c r="H19" s="158"/>
      <c r="I19" s="158"/>
      <c r="J19" s="158"/>
      <c r="K19" s="158"/>
    </row>
    <row r="20" spans="2:15" ht="12.75" customHeight="1" x14ac:dyDescent="0.15">
      <c r="F20" s="158"/>
      <c r="G20" s="158"/>
      <c r="H20" s="158"/>
      <c r="I20" s="158"/>
      <c r="J20" s="158"/>
      <c r="K20" s="158"/>
    </row>
    <row r="21" spans="2:15" ht="12.75" customHeight="1" x14ac:dyDescent="0.2">
      <c r="B21" s="662" t="s">
        <v>754</v>
      </c>
      <c r="C21" s="662"/>
      <c r="F21" s="662" t="s">
        <v>756</v>
      </c>
      <c r="G21" s="662"/>
      <c r="H21" s="158"/>
      <c r="I21" s="158"/>
      <c r="J21" s="662" t="s">
        <v>893</v>
      </c>
      <c r="K21" s="662"/>
      <c r="N21" s="662" t="s">
        <v>968</v>
      </c>
      <c r="O21" s="662"/>
    </row>
    <row r="22" spans="2:15" ht="12.75" customHeight="1" x14ac:dyDescent="0.2">
      <c r="B22" s="58" t="s">
        <v>966</v>
      </c>
      <c r="C22" s="663">
        <v>2100</v>
      </c>
      <c r="F22" s="58" t="s">
        <v>966</v>
      </c>
      <c r="G22" s="663">
        <v>350</v>
      </c>
      <c r="H22" s="158"/>
      <c r="I22" s="158"/>
      <c r="J22" s="58" t="s">
        <v>966</v>
      </c>
      <c r="K22" s="663">
        <v>4761</v>
      </c>
      <c r="N22" s="58" t="s">
        <v>966</v>
      </c>
      <c r="O22" s="663">
        <v>700</v>
      </c>
    </row>
    <row r="23" spans="2:15" ht="12.75" customHeight="1" x14ac:dyDescent="0.15">
      <c r="B23" s="664" t="s">
        <v>359</v>
      </c>
      <c r="C23" s="665"/>
      <c r="F23" s="664" t="s">
        <v>359</v>
      </c>
      <c r="G23" s="665"/>
      <c r="H23" s="158"/>
      <c r="I23" s="158"/>
      <c r="J23" s="664" t="s">
        <v>359</v>
      </c>
      <c r="K23" s="665"/>
      <c r="N23" s="664" t="s">
        <v>359</v>
      </c>
      <c r="O23" s="665"/>
    </row>
    <row r="24" spans="2:15" ht="12.75" customHeight="1" x14ac:dyDescent="0.2">
      <c r="B24" s="666" t="s">
        <v>360</v>
      </c>
      <c r="C24" s="667"/>
      <c r="F24" s="666" t="s">
        <v>360</v>
      </c>
      <c r="G24" s="667"/>
      <c r="H24" s="158"/>
      <c r="I24" s="158"/>
      <c r="J24" s="666" t="s">
        <v>360</v>
      </c>
      <c r="K24" s="667"/>
      <c r="N24" s="666" t="s">
        <v>360</v>
      </c>
      <c r="O24" s="667"/>
    </row>
    <row r="25" spans="2:15" ht="12.75" customHeight="1" x14ac:dyDescent="0.2">
      <c r="B25" s="666" t="s">
        <v>95</v>
      </c>
      <c r="C25" s="668"/>
      <c r="F25" s="666" t="s">
        <v>95</v>
      </c>
      <c r="G25" s="668"/>
      <c r="J25" s="666" t="s">
        <v>95</v>
      </c>
      <c r="K25" s="668"/>
      <c r="N25" s="666" t="s">
        <v>95</v>
      </c>
      <c r="O25" s="668"/>
    </row>
    <row r="26" spans="2:15" ht="12.75" customHeight="1" x14ac:dyDescent="0.2">
      <c r="B26" s="666" t="s">
        <v>361</v>
      </c>
      <c r="C26" s="667">
        <v>1950</v>
      </c>
      <c r="F26" s="666" t="s">
        <v>361</v>
      </c>
      <c r="G26" s="667">
        <v>320</v>
      </c>
      <c r="J26" s="666" t="s">
        <v>361</v>
      </c>
      <c r="K26" s="667">
        <v>4440</v>
      </c>
      <c r="N26" s="666" t="s">
        <v>361</v>
      </c>
      <c r="O26" s="667">
        <v>650</v>
      </c>
    </row>
    <row r="27" spans="2:15" ht="12.75" customHeight="1" x14ac:dyDescent="0.2">
      <c r="B27" s="666" t="s">
        <v>362</v>
      </c>
      <c r="C27" s="668"/>
      <c r="F27" s="666" t="s">
        <v>362</v>
      </c>
      <c r="G27" s="668"/>
      <c r="J27" s="666" t="s">
        <v>362</v>
      </c>
      <c r="K27" s="668"/>
      <c r="N27" s="666" t="s">
        <v>362</v>
      </c>
      <c r="O27" s="668"/>
    </row>
    <row r="28" spans="2:15" ht="12.75" customHeight="1" x14ac:dyDescent="0.2">
      <c r="B28" s="669" t="s">
        <v>149</v>
      </c>
      <c r="C28" s="670">
        <f>SUM(C23:C27)</f>
        <v>1950</v>
      </c>
      <c r="F28" s="669" t="s">
        <v>149</v>
      </c>
      <c r="G28" s="670">
        <f>SUM(G23:G27)</f>
        <v>320</v>
      </c>
      <c r="J28" s="669" t="s">
        <v>149</v>
      </c>
      <c r="K28" s="670">
        <f>SUM(K23:K27)</f>
        <v>4440</v>
      </c>
      <c r="N28" s="669" t="s">
        <v>149</v>
      </c>
      <c r="O28" s="670">
        <f>SUM(O23:O27)</f>
        <v>650</v>
      </c>
    </row>
    <row r="29" spans="2:15" ht="12.75" customHeight="1" x14ac:dyDescent="0.2">
      <c r="B29" s="669" t="s">
        <v>363</v>
      </c>
      <c r="C29" s="670">
        <f>+C22-C28</f>
        <v>150</v>
      </c>
      <c r="F29" s="669" t="s">
        <v>363</v>
      </c>
      <c r="G29" s="670">
        <f>+G22-G28</f>
        <v>30</v>
      </c>
      <c r="J29" s="669" t="s">
        <v>363</v>
      </c>
      <c r="K29" s="670">
        <f>+K22-K28</f>
        <v>321</v>
      </c>
      <c r="N29" s="669" t="s">
        <v>363</v>
      </c>
      <c r="O29" s="670">
        <f>+O22-O28</f>
        <v>50</v>
      </c>
    </row>
    <row r="30" spans="2:15" ht="12.75" customHeight="1" x14ac:dyDescent="0.2">
      <c r="B30" s="666" t="s">
        <v>364</v>
      </c>
      <c r="C30" s="667">
        <v>41</v>
      </c>
      <c r="F30" s="666" t="s">
        <v>364</v>
      </c>
      <c r="G30" s="667">
        <v>8</v>
      </c>
      <c r="J30" s="666" t="s">
        <v>364</v>
      </c>
      <c r="K30" s="667">
        <v>77</v>
      </c>
      <c r="N30" s="666" t="s">
        <v>364</v>
      </c>
      <c r="O30" s="667">
        <v>14</v>
      </c>
    </row>
    <row r="31" spans="2:15" ht="12.75" customHeight="1" x14ac:dyDescent="0.2">
      <c r="B31" s="666" t="s">
        <v>340</v>
      </c>
      <c r="C31" s="667">
        <v>101</v>
      </c>
      <c r="F31" s="666" t="s">
        <v>340</v>
      </c>
      <c r="G31" s="667">
        <v>17</v>
      </c>
      <c r="J31" s="666" t="s">
        <v>340</v>
      </c>
      <c r="K31" s="667">
        <v>229</v>
      </c>
      <c r="N31" s="666" t="s">
        <v>340</v>
      </c>
      <c r="O31" s="667">
        <v>34</v>
      </c>
    </row>
    <row r="32" spans="2:15" ht="12.75" customHeight="1" x14ac:dyDescent="0.2">
      <c r="B32" s="669" t="s">
        <v>365</v>
      </c>
      <c r="C32" s="670">
        <f>+C29-C30-C31</f>
        <v>8</v>
      </c>
      <c r="F32" s="669" t="s">
        <v>365</v>
      </c>
      <c r="G32" s="670">
        <f>+G29-G30-G31</f>
        <v>5</v>
      </c>
      <c r="J32" s="669" t="s">
        <v>365</v>
      </c>
      <c r="K32" s="670">
        <f>+K29-K30-K31</f>
        <v>15</v>
      </c>
      <c r="N32" s="669" t="s">
        <v>365</v>
      </c>
      <c r="O32" s="670">
        <f>+O29-O30-O31</f>
        <v>2</v>
      </c>
    </row>
    <row r="33" spans="2:15" ht="12.75" customHeight="1" x14ac:dyDescent="0.15"/>
    <row r="34" spans="2:15" ht="12.75" customHeight="1" x14ac:dyDescent="0.15"/>
    <row r="35" spans="2:15" ht="12.75" customHeight="1" x14ac:dyDescent="0.15"/>
    <row r="36" spans="2:15" ht="12.75" customHeight="1" x14ac:dyDescent="0.15"/>
    <row r="37" spans="2:15" ht="12.75" customHeight="1" x14ac:dyDescent="0.15"/>
    <row r="38" spans="2:15" ht="12.75" customHeight="1" x14ac:dyDescent="0.2">
      <c r="B38" s="662" t="s">
        <v>969</v>
      </c>
      <c r="C38" s="662"/>
      <c r="F38" s="662" t="s">
        <v>970</v>
      </c>
      <c r="G38" s="662"/>
      <c r="J38" s="662" t="s">
        <v>894</v>
      </c>
      <c r="K38" s="662"/>
      <c r="N38" s="662" t="s">
        <v>972</v>
      </c>
      <c r="O38" s="662"/>
    </row>
    <row r="39" spans="2:15" ht="12.75" customHeight="1" x14ac:dyDescent="0.2">
      <c r="B39" s="58" t="s">
        <v>966</v>
      </c>
      <c r="C39" s="663">
        <v>6300</v>
      </c>
      <c r="F39" s="58" t="s">
        <v>966</v>
      </c>
      <c r="G39" s="663">
        <v>14400</v>
      </c>
      <c r="J39" s="58" t="s">
        <v>966</v>
      </c>
      <c r="K39" s="663">
        <v>10800</v>
      </c>
      <c r="N39" s="58" t="s">
        <v>966</v>
      </c>
      <c r="O39" s="663">
        <v>4500</v>
      </c>
    </row>
    <row r="40" spans="2:15" ht="12.75" customHeight="1" x14ac:dyDescent="0.15">
      <c r="B40" s="664" t="s">
        <v>359</v>
      </c>
      <c r="C40" s="665"/>
      <c r="F40" s="664" t="s">
        <v>359</v>
      </c>
      <c r="G40" s="665"/>
      <c r="J40" s="664" t="s">
        <v>359</v>
      </c>
      <c r="K40" s="665"/>
      <c r="N40" s="664" t="s">
        <v>359</v>
      </c>
      <c r="O40" s="665"/>
    </row>
    <row r="41" spans="2:15" ht="12.75" customHeight="1" x14ac:dyDescent="0.2">
      <c r="B41" s="666" t="s">
        <v>360</v>
      </c>
      <c r="C41" s="667"/>
      <c r="F41" s="666" t="s">
        <v>360</v>
      </c>
      <c r="G41" s="667"/>
      <c r="J41" s="666" t="s">
        <v>360</v>
      </c>
      <c r="K41" s="667"/>
      <c r="N41" s="666" t="s">
        <v>360</v>
      </c>
      <c r="O41" s="667"/>
    </row>
    <row r="42" spans="2:15" ht="12.75" customHeight="1" x14ac:dyDescent="0.2">
      <c r="B42" s="666" t="s">
        <v>95</v>
      </c>
      <c r="C42" s="668"/>
      <c r="F42" s="666" t="s">
        <v>95</v>
      </c>
      <c r="G42" s="668"/>
      <c r="J42" s="666" t="s">
        <v>95</v>
      </c>
      <c r="K42" s="668"/>
      <c r="N42" s="666" t="s">
        <v>95</v>
      </c>
      <c r="O42" s="668"/>
    </row>
    <row r="43" spans="2:15" ht="12.75" customHeight="1" x14ac:dyDescent="0.2">
      <c r="B43" s="666" t="s">
        <v>361</v>
      </c>
      <c r="C43" s="667">
        <v>5850</v>
      </c>
      <c r="F43" s="666" t="s">
        <v>361</v>
      </c>
      <c r="G43" s="667">
        <v>13440</v>
      </c>
      <c r="J43" s="666" t="s">
        <v>361</v>
      </c>
      <c r="K43" s="667">
        <v>10000</v>
      </c>
      <c r="N43" s="666" t="s">
        <v>361</v>
      </c>
      <c r="O43" s="667">
        <v>4200</v>
      </c>
    </row>
    <row r="44" spans="2:15" ht="12.75" customHeight="1" x14ac:dyDescent="0.2">
      <c r="B44" s="666" t="s">
        <v>362</v>
      </c>
      <c r="C44" s="668"/>
      <c r="F44" s="666" t="s">
        <v>362</v>
      </c>
      <c r="G44" s="668"/>
      <c r="J44" s="666" t="s">
        <v>362</v>
      </c>
      <c r="K44" s="668"/>
      <c r="N44" s="666" t="s">
        <v>362</v>
      </c>
      <c r="O44" s="668"/>
    </row>
    <row r="45" spans="2:15" ht="12.75" customHeight="1" x14ac:dyDescent="0.2">
      <c r="B45" s="669" t="s">
        <v>149</v>
      </c>
      <c r="C45" s="670">
        <f>SUM(C40:C44)</f>
        <v>5850</v>
      </c>
      <c r="F45" s="669" t="s">
        <v>149</v>
      </c>
      <c r="G45" s="670">
        <f>SUM(G40:G44)</f>
        <v>13440</v>
      </c>
      <c r="J45" s="669" t="s">
        <v>149</v>
      </c>
      <c r="K45" s="670">
        <f>SUM(K40:K44)</f>
        <v>10000</v>
      </c>
      <c r="N45" s="669" t="s">
        <v>149</v>
      </c>
      <c r="O45" s="670">
        <f>SUM(O40:O44)</f>
        <v>4200</v>
      </c>
    </row>
    <row r="46" spans="2:15" ht="12.75" customHeight="1" x14ac:dyDescent="0.2">
      <c r="B46" s="669" t="s">
        <v>363</v>
      </c>
      <c r="C46" s="670">
        <f>+C39-C45</f>
        <v>450</v>
      </c>
      <c r="F46" s="669" t="s">
        <v>363</v>
      </c>
      <c r="G46" s="670">
        <f>+G39-G45</f>
        <v>960</v>
      </c>
      <c r="J46" s="669" t="s">
        <v>363</v>
      </c>
      <c r="K46" s="670">
        <f>+K39-K45</f>
        <v>800</v>
      </c>
      <c r="N46" s="669" t="s">
        <v>363</v>
      </c>
      <c r="O46" s="670">
        <f>+O39-O45</f>
        <v>300</v>
      </c>
    </row>
    <row r="47" spans="2:15" ht="12.75" customHeight="1" x14ac:dyDescent="0.2">
      <c r="B47" s="666" t="s">
        <v>364</v>
      </c>
      <c r="C47" s="667">
        <v>124</v>
      </c>
      <c r="F47" s="666" t="s">
        <v>364</v>
      </c>
      <c r="G47" s="667">
        <v>264</v>
      </c>
      <c r="J47" s="666" t="s">
        <v>364</v>
      </c>
      <c r="K47" s="667">
        <v>220</v>
      </c>
      <c r="N47" s="666" t="s">
        <v>364</v>
      </c>
      <c r="O47" s="667">
        <v>82</v>
      </c>
    </row>
    <row r="48" spans="2:15" ht="12.75" customHeight="1" x14ac:dyDescent="0.2">
      <c r="B48" s="666" t="s">
        <v>340</v>
      </c>
      <c r="C48" s="667">
        <v>304</v>
      </c>
      <c r="F48" s="666" t="s">
        <v>340</v>
      </c>
      <c r="G48" s="667">
        <v>694</v>
      </c>
      <c r="J48" s="666" t="s">
        <v>340</v>
      </c>
      <c r="K48" s="667">
        <v>521</v>
      </c>
      <c r="N48" s="666" t="s">
        <v>340</v>
      </c>
      <c r="O48" s="667">
        <v>217</v>
      </c>
    </row>
    <row r="49" spans="2:15" ht="12.75" customHeight="1" x14ac:dyDescent="0.2">
      <c r="B49" s="669" t="s">
        <v>365</v>
      </c>
      <c r="C49" s="670">
        <f>+C46-C47-C48</f>
        <v>22</v>
      </c>
      <c r="F49" s="669" t="s">
        <v>365</v>
      </c>
      <c r="G49" s="670">
        <f>+G46-G47-G48</f>
        <v>2</v>
      </c>
      <c r="J49" s="669" t="s">
        <v>365</v>
      </c>
      <c r="K49" s="670">
        <f>+K46-K47-K48</f>
        <v>59</v>
      </c>
      <c r="N49" s="669" t="s">
        <v>365</v>
      </c>
      <c r="O49" s="670">
        <f>+O46-O47-O48</f>
        <v>1</v>
      </c>
    </row>
    <row r="50" spans="2:15" ht="12.75" customHeight="1" x14ac:dyDescent="0.15"/>
    <row r="51" spans="2:15" ht="12.75" customHeight="1" x14ac:dyDescent="0.15"/>
    <row r="52" spans="2:15" ht="12.75" customHeight="1" x14ac:dyDescent="0.15"/>
    <row r="53" spans="2:15" ht="12.75" customHeight="1" x14ac:dyDescent="0.2">
      <c r="B53" s="662" t="s">
        <v>974</v>
      </c>
      <c r="C53" s="662"/>
      <c r="F53" s="983" t="s">
        <v>974</v>
      </c>
      <c r="G53" s="979"/>
      <c r="J53" s="662" t="s">
        <v>971</v>
      </c>
      <c r="K53" s="662"/>
      <c r="N53" s="662" t="s">
        <v>973</v>
      </c>
      <c r="O53" s="662"/>
    </row>
    <row r="54" spans="2:15" ht="15" customHeight="1" x14ac:dyDescent="0.2">
      <c r="B54" s="58" t="s">
        <v>966</v>
      </c>
      <c r="C54" s="663">
        <f>+O39+K39+G39+C39+C22+G22+K22+O22+O6+K6+G6+C6+K54+O54</f>
        <v>128904.44</v>
      </c>
      <c r="F54" s="58" t="s">
        <v>966</v>
      </c>
      <c r="G54" s="709">
        <v>128904</v>
      </c>
      <c r="J54" s="58" t="s">
        <v>966</v>
      </c>
      <c r="K54" s="663">
        <v>4098.3599999999997</v>
      </c>
      <c r="N54" s="58" t="s">
        <v>966</v>
      </c>
      <c r="O54" s="663">
        <v>7800</v>
      </c>
    </row>
    <row r="55" spans="2:15" ht="12.75" customHeight="1" x14ac:dyDescent="0.2">
      <c r="B55" s="664" t="s">
        <v>359</v>
      </c>
      <c r="C55" s="663">
        <f>C7+G7+G23+C23+C40+K7+O7+O23+K23+G40+K40+O40</f>
        <v>0</v>
      </c>
      <c r="F55" s="666" t="s">
        <v>342</v>
      </c>
      <c r="G55" s="663"/>
      <c r="J55" s="664" t="s">
        <v>359</v>
      </c>
      <c r="K55" s="665"/>
      <c r="N55" s="664" t="s">
        <v>359</v>
      </c>
      <c r="O55" s="665"/>
    </row>
    <row r="56" spans="2:15" ht="12.75" customHeight="1" x14ac:dyDescent="0.2">
      <c r="B56" s="666" t="s">
        <v>360</v>
      </c>
      <c r="C56" s="663">
        <f>+C8+G8+K8+O8+O24+K24+G24+C24+C41+G41+K41+O41</f>
        <v>0</v>
      </c>
      <c r="F56" s="666" t="s">
        <v>81</v>
      </c>
      <c r="G56" s="663"/>
      <c r="J56" s="666" t="s">
        <v>360</v>
      </c>
      <c r="K56" s="667"/>
      <c r="N56" s="666" t="s">
        <v>360</v>
      </c>
      <c r="O56" s="667"/>
    </row>
    <row r="57" spans="2:15" ht="12.75" customHeight="1" x14ac:dyDescent="0.2">
      <c r="B57" s="666" t="s">
        <v>95</v>
      </c>
      <c r="C57" s="663">
        <f>+C42+G42+K42+O25+K25+G25+C25+C9+G9+K9+O9</f>
        <v>0</v>
      </c>
      <c r="F57" s="666" t="s">
        <v>735</v>
      </c>
      <c r="G57" s="663"/>
      <c r="J57" s="666" t="s">
        <v>95</v>
      </c>
      <c r="K57" s="668"/>
      <c r="N57" s="666" t="s">
        <v>95</v>
      </c>
      <c r="O57" s="668"/>
    </row>
    <row r="58" spans="2:15" ht="12.75" customHeight="1" x14ac:dyDescent="0.2">
      <c r="B58" s="666" t="s">
        <v>361</v>
      </c>
      <c r="C58" s="663">
        <f>+C26+G26+K26+O26+O43+K43+G43+C43+C10+G10+K10+O10+K58+O58</f>
        <v>120270</v>
      </c>
      <c r="F58" s="666" t="s">
        <v>1173</v>
      </c>
      <c r="G58" s="709">
        <v>120270</v>
      </c>
      <c r="J58" s="666" t="s">
        <v>361</v>
      </c>
      <c r="K58" s="667">
        <v>3820</v>
      </c>
      <c r="N58" s="666" t="s">
        <v>361</v>
      </c>
      <c r="O58" s="667">
        <v>7280</v>
      </c>
    </row>
    <row r="59" spans="2:15" ht="12.75" customHeight="1" x14ac:dyDescent="0.2">
      <c r="B59" s="666" t="s">
        <v>362</v>
      </c>
      <c r="C59" s="663">
        <f>+C11</f>
        <v>0</v>
      </c>
      <c r="F59" s="980" t="s">
        <v>149</v>
      </c>
      <c r="G59" s="981">
        <f>SUM(G55:G58)</f>
        <v>120270</v>
      </c>
      <c r="J59" s="666" t="s">
        <v>362</v>
      </c>
      <c r="K59" s="668"/>
      <c r="N59" s="666" t="s">
        <v>362</v>
      </c>
      <c r="O59" s="668"/>
    </row>
    <row r="60" spans="2:15" ht="12.75" customHeight="1" x14ac:dyDescent="0.2">
      <c r="B60" s="669" t="s">
        <v>149</v>
      </c>
      <c r="C60" s="670">
        <f>SUM(C55:C59)</f>
        <v>120270</v>
      </c>
      <c r="F60" s="980" t="s">
        <v>830</v>
      </c>
      <c r="G60" s="982">
        <f>+G54-G59</f>
        <v>8634</v>
      </c>
      <c r="J60" s="669" t="s">
        <v>149</v>
      </c>
      <c r="K60" s="670">
        <f>SUM(K55:K59)</f>
        <v>3820</v>
      </c>
      <c r="N60" s="669" t="s">
        <v>149</v>
      </c>
      <c r="O60" s="670">
        <f>SUM(O55:O59)</f>
        <v>7280</v>
      </c>
    </row>
    <row r="61" spans="2:15" ht="12.75" customHeight="1" x14ac:dyDescent="0.2">
      <c r="B61" s="669" t="s">
        <v>830</v>
      </c>
      <c r="C61" s="670">
        <f>+C54-C60</f>
        <v>8634.4400000000023</v>
      </c>
      <c r="F61" s="666" t="s">
        <v>1174</v>
      </c>
      <c r="G61" s="710">
        <v>2274</v>
      </c>
      <c r="J61" s="669" t="s">
        <v>363</v>
      </c>
      <c r="K61" s="670">
        <f>+K54-K60</f>
        <v>278.35999999999967</v>
      </c>
      <c r="N61" s="669" t="s">
        <v>363</v>
      </c>
      <c r="O61" s="670">
        <f>+O54-O60</f>
        <v>520</v>
      </c>
    </row>
    <row r="62" spans="2:15" ht="12.75" customHeight="1" x14ac:dyDescent="0.2">
      <c r="B62" s="666" t="s">
        <v>364</v>
      </c>
      <c r="C62" s="667">
        <f>+C14+G14+K14+O14+O30+K30+G30+C47+G47+K47+O47+C30+K62+O62</f>
        <v>2274</v>
      </c>
      <c r="F62" s="666" t="s">
        <v>1175</v>
      </c>
      <c r="G62" s="710">
        <v>6214</v>
      </c>
      <c r="J62" s="666" t="s">
        <v>364</v>
      </c>
      <c r="K62" s="667">
        <v>77</v>
      </c>
      <c r="N62" s="666" t="s">
        <v>364</v>
      </c>
      <c r="O62" s="667">
        <v>143</v>
      </c>
    </row>
    <row r="63" spans="2:15" ht="12.75" customHeight="1" x14ac:dyDescent="0.2">
      <c r="B63" s="666" t="s">
        <v>340</v>
      </c>
      <c r="C63" s="667">
        <f>+O48+K48+G48+C48+C31+G31+K31+O31+O15+K15+G15+C15+K63+O63</f>
        <v>6214</v>
      </c>
      <c r="F63" s="980" t="s">
        <v>365</v>
      </c>
      <c r="G63" s="982">
        <f>+G60-G61-G62</f>
        <v>146</v>
      </c>
      <c r="J63" s="666" t="s">
        <v>340</v>
      </c>
      <c r="K63" s="667">
        <v>198</v>
      </c>
      <c r="N63" s="666" t="s">
        <v>340</v>
      </c>
      <c r="O63" s="667">
        <v>376</v>
      </c>
    </row>
    <row r="64" spans="2:15" ht="12.75" customHeight="1" x14ac:dyDescent="0.2">
      <c r="B64" s="669" t="s">
        <v>365</v>
      </c>
      <c r="C64" s="670">
        <f>+C61-C62-C63</f>
        <v>146.44000000000233</v>
      </c>
      <c r="J64" s="669" t="s">
        <v>365</v>
      </c>
      <c r="K64" s="670">
        <f>+K61-K62-K63</f>
        <v>3.3599999999996726</v>
      </c>
      <c r="N64" s="669" t="s">
        <v>365</v>
      </c>
      <c r="O64" s="670">
        <f>+O61-O62-O63</f>
        <v>1</v>
      </c>
    </row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</sheetData>
  <pageMargins left="0.7" right="0.7" top="0.75" bottom="0.75" header="0" footer="0"/>
  <pageSetup orientation="portrait" r:id="rId1"/>
  <ignoredErrors>
    <ignoredError sqref="C12:O12 C28 G45 G5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988"/>
  <sheetViews>
    <sheetView showGridLines="0" zoomScale="160" zoomScaleNormal="1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baseColWidth="10" defaultColWidth="14.5" defaultRowHeight="13" x14ac:dyDescent="0.15"/>
  <cols>
    <col min="1" max="1" width="11.5" customWidth="1"/>
    <col min="2" max="2" width="61.6640625" customWidth="1"/>
    <col min="3" max="3" width="9.6640625" customWidth="1"/>
    <col min="4" max="4" width="9.5" customWidth="1"/>
    <col min="5" max="5" width="10.83203125" customWidth="1"/>
    <col min="6" max="6" width="12" customWidth="1"/>
    <col min="7" max="7" width="12.1640625" bestFit="1" customWidth="1"/>
    <col min="8" max="8" width="9.5" customWidth="1"/>
    <col min="9" max="9" width="14.6640625" customWidth="1"/>
    <col min="10" max="27" width="11.5" customWidth="1"/>
  </cols>
  <sheetData>
    <row r="1" spans="1:27" ht="14" x14ac:dyDescent="0.2">
      <c r="A1" s="50"/>
      <c r="B1" s="46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56.25" customHeight="1" x14ac:dyDescent="0.2">
      <c r="A2" s="50"/>
      <c r="B2" s="45"/>
      <c r="C2" s="441" t="s">
        <v>21</v>
      </c>
      <c r="D2" s="441" t="s">
        <v>341</v>
      </c>
      <c r="E2" s="441" t="s">
        <v>342</v>
      </c>
      <c r="F2" s="441" t="s">
        <v>81</v>
      </c>
      <c r="G2" s="442" t="s">
        <v>343</v>
      </c>
      <c r="H2" s="442" t="s">
        <v>344</v>
      </c>
      <c r="I2" s="443" t="s">
        <v>345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" x14ac:dyDescent="0.15">
      <c r="A3" s="50"/>
      <c r="B3" s="437" t="s">
        <v>105</v>
      </c>
      <c r="C3" s="55"/>
      <c r="D3" s="55"/>
      <c r="E3" s="55"/>
      <c r="F3" s="55"/>
      <c r="G3" s="55"/>
      <c r="H3" s="55"/>
      <c r="I3" s="53">
        <f t="shared" ref="I3:I53" si="0">SUM(C3:H3)</f>
        <v>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0" x14ac:dyDescent="0.15">
      <c r="A4" s="50"/>
      <c r="B4" s="447" t="s">
        <v>848</v>
      </c>
      <c r="C4" s="56"/>
      <c r="D4" s="56"/>
      <c r="E4" s="56"/>
      <c r="F4" s="56"/>
      <c r="G4" s="56">
        <f>'Dettaglio contributi c-capitale'!J392</f>
        <v>19619</v>
      </c>
      <c r="H4" s="56"/>
      <c r="I4" s="53">
        <f t="shared" si="0"/>
        <v>19619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" x14ac:dyDescent="0.15">
      <c r="A5" s="50"/>
      <c r="B5" s="437" t="s">
        <v>49</v>
      </c>
      <c r="C5" s="55"/>
      <c r="D5" s="55"/>
      <c r="E5" s="55"/>
      <c r="F5" s="55"/>
      <c r="G5" s="55"/>
      <c r="H5" s="55"/>
      <c r="I5" s="53">
        <f t="shared" si="0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0" x14ac:dyDescent="0.15">
      <c r="A6" s="50"/>
      <c r="B6" s="447" t="s">
        <v>851</v>
      </c>
      <c r="C6" s="56"/>
      <c r="D6" s="56"/>
      <c r="E6" s="56"/>
      <c r="F6" s="56"/>
      <c r="G6" s="56">
        <f>'Dettaglio contributi c-capitale'!J393</f>
        <v>12648</v>
      </c>
      <c r="H6" s="56">
        <v>0</v>
      </c>
      <c r="I6" s="53">
        <f t="shared" si="0"/>
        <v>12648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" x14ac:dyDescent="0.2">
      <c r="A7" s="50">
        <v>3</v>
      </c>
      <c r="B7" s="438" t="s">
        <v>43</v>
      </c>
      <c r="C7" s="55"/>
      <c r="D7" s="55"/>
      <c r="E7" s="55"/>
      <c r="F7" s="55"/>
      <c r="G7" s="55"/>
      <c r="H7" s="55"/>
      <c r="I7" s="53">
        <f t="shared" si="0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0" x14ac:dyDescent="0.15">
      <c r="A8" s="50"/>
      <c r="B8" s="447" t="s">
        <v>847</v>
      </c>
      <c r="C8" s="56"/>
      <c r="D8" s="56"/>
      <c r="E8" s="56"/>
      <c r="F8" s="56"/>
      <c r="G8" s="56">
        <f>'Dettaglio contributi c-capitale'!J394</f>
        <v>33005</v>
      </c>
      <c r="H8" s="56">
        <v>0</v>
      </c>
      <c r="I8" s="53">
        <f t="shared" si="0"/>
        <v>33005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" x14ac:dyDescent="0.2">
      <c r="A9" s="50">
        <v>4</v>
      </c>
      <c r="B9" s="438" t="s">
        <v>354</v>
      </c>
      <c r="C9" s="51"/>
      <c r="D9" s="51"/>
      <c r="E9" s="51"/>
      <c r="F9" s="51"/>
      <c r="G9" s="51"/>
      <c r="H9" s="51"/>
      <c r="I9" s="53">
        <f t="shared" si="0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0" x14ac:dyDescent="0.15">
      <c r="A10" s="50"/>
      <c r="B10" s="447" t="s">
        <v>1151</v>
      </c>
      <c r="C10" s="56"/>
      <c r="D10" s="56"/>
      <c r="E10" s="56"/>
      <c r="F10" s="56"/>
      <c r="G10" s="56">
        <f>'Dettaglio contributi c-capitale'!J406</f>
        <v>126513</v>
      </c>
      <c r="H10" s="56">
        <v>0</v>
      </c>
      <c r="I10" s="53">
        <f t="shared" si="0"/>
        <v>126513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x14ac:dyDescent="0.2">
      <c r="A11" s="50">
        <v>5</v>
      </c>
      <c r="B11" s="439" t="s">
        <v>358</v>
      </c>
      <c r="C11" s="51"/>
      <c r="D11" s="51"/>
      <c r="E11" s="51"/>
      <c r="F11" s="51"/>
      <c r="G11" s="51"/>
      <c r="H11" s="51"/>
      <c r="I11" s="53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30" x14ac:dyDescent="0.15">
      <c r="A12" s="50"/>
      <c r="B12" s="447" t="s">
        <v>1153</v>
      </c>
      <c r="C12" s="56"/>
      <c r="D12" s="56"/>
      <c r="E12" s="56"/>
      <c r="F12" s="56"/>
      <c r="G12" s="56">
        <f>'Dettaglio contributi c-capitale'!J418</f>
        <v>100668</v>
      </c>
      <c r="H12" s="56">
        <v>0</v>
      </c>
      <c r="I12" s="53">
        <f t="shared" si="0"/>
        <v>100668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x14ac:dyDescent="0.2">
      <c r="A13" s="50"/>
      <c r="B13" s="446" t="s">
        <v>45</v>
      </c>
      <c r="C13" s="56"/>
      <c r="D13" s="56"/>
      <c r="E13" s="56"/>
      <c r="F13" s="56"/>
      <c r="G13" s="56"/>
      <c r="H13" s="56"/>
      <c r="I13" s="53">
        <f t="shared" si="0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30" x14ac:dyDescent="0.15">
      <c r="A14" s="50"/>
      <c r="B14" s="447" t="s">
        <v>1152</v>
      </c>
      <c r="C14" s="56"/>
      <c r="D14" s="56"/>
      <c r="E14" s="56"/>
      <c r="F14" s="56"/>
      <c r="G14" s="56">
        <f>'Dettaglio contributi c-capitale'!J416</f>
        <v>19036</v>
      </c>
      <c r="H14" s="56"/>
      <c r="I14" s="53">
        <f t="shared" si="0"/>
        <v>19036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x14ac:dyDescent="0.2">
      <c r="A15" s="50"/>
      <c r="B15" s="440" t="s">
        <v>47</v>
      </c>
      <c r="C15" s="51"/>
      <c r="D15" s="51"/>
      <c r="E15" s="4"/>
      <c r="F15" s="4"/>
      <c r="G15" s="51"/>
      <c r="H15" s="51"/>
      <c r="I15" s="53">
        <f t="shared" si="0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51" customHeight="1" x14ac:dyDescent="0.15">
      <c r="A16" s="50"/>
      <c r="B16" s="447" t="s">
        <v>1154</v>
      </c>
      <c r="C16" s="56"/>
      <c r="D16" s="56"/>
      <c r="E16" s="56"/>
      <c r="F16" s="56"/>
      <c r="G16" s="56">
        <f>'Dettaglio contributi c-capitale'!J422</f>
        <v>2904</v>
      </c>
      <c r="H16" s="56"/>
      <c r="I16" s="53">
        <f t="shared" si="0"/>
        <v>2904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x14ac:dyDescent="0.2">
      <c r="A17" s="50"/>
      <c r="B17" s="440" t="s">
        <v>46</v>
      </c>
      <c r="C17" s="56"/>
      <c r="D17" s="56"/>
      <c r="E17" s="56"/>
      <c r="F17" s="56"/>
      <c r="G17" s="56"/>
      <c r="H17" s="56"/>
      <c r="I17" s="53">
        <f t="shared" si="0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45" x14ac:dyDescent="0.2">
      <c r="A18" s="50"/>
      <c r="B18" s="480" t="s">
        <v>1155</v>
      </c>
      <c r="C18" s="56">
        <f>Straordinario_2023!F8</f>
        <v>59691.270000000004</v>
      </c>
      <c r="D18" s="56"/>
      <c r="E18" s="56">
        <f>Straordinario_2023!D8</f>
        <v>18215.82</v>
      </c>
      <c r="F18" s="56">
        <f>Straordinario_2023!E8</f>
        <v>1487.99</v>
      </c>
      <c r="G18" s="56">
        <f>'Dettaglio contributi c-capitale'!J417</f>
        <v>23247</v>
      </c>
      <c r="H18" s="56"/>
      <c r="I18" s="53">
        <f t="shared" si="0"/>
        <v>102642.08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" x14ac:dyDescent="0.2">
      <c r="A19" s="50"/>
      <c r="B19" s="444" t="s">
        <v>614</v>
      </c>
      <c r="C19" s="56"/>
      <c r="D19" s="56"/>
      <c r="E19" s="56"/>
      <c r="F19" s="56"/>
      <c r="G19" s="56"/>
      <c r="H19" s="56"/>
      <c r="I19" s="53">
        <f t="shared" si="0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4" customHeight="1" x14ac:dyDescent="0.2">
      <c r="A20" s="50"/>
      <c r="B20" s="276" t="s">
        <v>1156</v>
      </c>
      <c r="C20" s="56"/>
      <c r="D20" s="56"/>
      <c r="E20" s="56"/>
      <c r="F20" s="56">
        <f>Straordinario_2023!I30</f>
        <v>549.20000000000005</v>
      </c>
      <c r="G20" s="56"/>
      <c r="H20" s="56"/>
      <c r="I20" s="53">
        <f t="shared" si="0"/>
        <v>549.20000000000005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0" customHeight="1" x14ac:dyDescent="0.2">
      <c r="A21" s="50"/>
      <c r="B21" s="444" t="s">
        <v>958</v>
      </c>
      <c r="C21" s="56"/>
      <c r="D21" s="56"/>
      <c r="E21" s="56"/>
      <c r="F21" s="56"/>
      <c r="G21" s="56"/>
      <c r="H21" s="56"/>
      <c r="I21" s="5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4" customHeight="1" x14ac:dyDescent="0.2">
      <c r="A22" s="50"/>
      <c r="B22" s="276" t="s">
        <v>1164</v>
      </c>
      <c r="C22" s="56"/>
      <c r="D22" s="56"/>
      <c r="E22" s="56">
        <f>Straordinario_2023!D18</f>
        <v>6306</v>
      </c>
      <c r="F22" s="56">
        <f>Straordinario_2023!E18</f>
        <v>2012.04</v>
      </c>
      <c r="G22" s="56"/>
      <c r="H22" s="56"/>
      <c r="I22" s="53">
        <f t="shared" si="0"/>
        <v>8318.0400000000009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" x14ac:dyDescent="0.2">
      <c r="A23" s="50"/>
      <c r="B23" s="444" t="s">
        <v>755</v>
      </c>
      <c r="C23" s="56"/>
      <c r="D23" s="56"/>
      <c r="E23" s="56"/>
      <c r="F23" s="56"/>
      <c r="G23" s="56"/>
      <c r="H23" s="56"/>
      <c r="I23" s="53">
        <f t="shared" si="0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" x14ac:dyDescent="0.2">
      <c r="A24" s="50"/>
      <c r="B24" s="276" t="s">
        <v>850</v>
      </c>
      <c r="C24" s="56">
        <f>Straordinario_2023!F10</f>
        <v>14230</v>
      </c>
      <c r="D24" s="56">
        <f>Straordinario_2023!C10</f>
        <v>33.18</v>
      </c>
      <c r="E24" s="56">
        <f>Straordinario_2023!D10</f>
        <v>11665.3</v>
      </c>
      <c r="F24" s="56">
        <f>Straordinario_2023!E10</f>
        <v>11625.58</v>
      </c>
      <c r="G24" s="56">
        <f>'Dettaglio contributi c-capitale'!J423</f>
        <v>953</v>
      </c>
      <c r="H24" s="56"/>
      <c r="I24" s="53">
        <f t="shared" si="0"/>
        <v>38507.06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" x14ac:dyDescent="0.15">
      <c r="A25" s="50">
        <v>6</v>
      </c>
      <c r="B25" s="437" t="s">
        <v>72</v>
      </c>
      <c r="C25" s="54"/>
      <c r="D25" s="54"/>
      <c r="E25" s="54"/>
      <c r="F25" s="54"/>
      <c r="G25" s="54"/>
      <c r="H25" s="54"/>
      <c r="I25" s="53">
        <f t="shared" si="0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x14ac:dyDescent="0.15">
      <c r="A26" s="50"/>
      <c r="B26" s="447" t="s">
        <v>849</v>
      </c>
      <c r="C26" s="52"/>
      <c r="D26" s="52"/>
      <c r="E26" s="52"/>
      <c r="F26" s="52"/>
      <c r="G26" s="52">
        <f>'Dettaglio contributi c-capitale'!J412</f>
        <v>2928</v>
      </c>
      <c r="H26" s="52"/>
      <c r="I26" s="53">
        <f t="shared" si="0"/>
        <v>2928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" x14ac:dyDescent="0.2">
      <c r="A27" s="50">
        <v>11</v>
      </c>
      <c r="B27" s="438" t="s">
        <v>352</v>
      </c>
      <c r="C27" s="51"/>
      <c r="D27" s="51"/>
      <c r="E27" s="51"/>
      <c r="F27" s="51"/>
      <c r="G27" s="51"/>
      <c r="H27" s="51"/>
      <c r="I27" s="53">
        <f t="shared" si="0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x14ac:dyDescent="0.15">
      <c r="A28" s="50"/>
      <c r="B28" s="447" t="s">
        <v>838</v>
      </c>
      <c r="C28" s="56"/>
      <c r="D28" s="56"/>
      <c r="E28" s="56"/>
      <c r="F28" s="56"/>
      <c r="G28" s="56">
        <f>'Dettaglio contributi c-capitale'!J410</f>
        <v>7709</v>
      </c>
      <c r="H28" s="56">
        <v>0</v>
      </c>
      <c r="I28" s="53">
        <f t="shared" si="0"/>
        <v>7709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" x14ac:dyDescent="0.2">
      <c r="A29" s="50">
        <v>17</v>
      </c>
      <c r="B29" s="438" t="s">
        <v>355</v>
      </c>
      <c r="C29" s="51"/>
      <c r="D29" s="51"/>
      <c r="E29" s="51"/>
      <c r="F29" s="51"/>
      <c r="G29" s="51"/>
      <c r="H29" s="51"/>
      <c r="I29" s="53">
        <f t="shared" si="0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x14ac:dyDescent="0.15">
      <c r="A30" s="50"/>
      <c r="B30" s="447" t="s">
        <v>838</v>
      </c>
      <c r="C30" s="56"/>
      <c r="D30" s="56"/>
      <c r="E30" s="56"/>
      <c r="F30" s="56"/>
      <c r="G30" s="56">
        <f>'Dettaglio contributi c-capitale'!J402</f>
        <v>6499</v>
      </c>
      <c r="H30" s="56">
        <v>0</v>
      </c>
      <c r="I30" s="53">
        <f t="shared" si="0"/>
        <v>6499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" x14ac:dyDescent="0.2">
      <c r="A31" s="50">
        <v>19</v>
      </c>
      <c r="B31" s="444" t="s">
        <v>68</v>
      </c>
      <c r="C31" s="51"/>
      <c r="D31" s="51"/>
      <c r="E31" s="51"/>
      <c r="F31" s="51"/>
      <c r="G31" s="51"/>
      <c r="H31" s="51"/>
      <c r="I31" s="53">
        <f t="shared" si="0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x14ac:dyDescent="0.15">
      <c r="A32" s="50"/>
      <c r="B32" s="447" t="s">
        <v>838</v>
      </c>
      <c r="C32" s="52"/>
      <c r="D32" s="52"/>
      <c r="E32" s="52"/>
      <c r="F32" s="52"/>
      <c r="G32" s="52">
        <f>'Dettaglio contributi c-capitale'!J408</f>
        <v>5235</v>
      </c>
      <c r="H32" s="52">
        <v>0</v>
      </c>
      <c r="I32" s="53">
        <f t="shared" si="0"/>
        <v>5235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" x14ac:dyDescent="0.2">
      <c r="A33" s="50">
        <v>20</v>
      </c>
      <c r="B33" s="438" t="s">
        <v>356</v>
      </c>
      <c r="C33" s="51"/>
      <c r="D33" s="51"/>
      <c r="E33" s="51"/>
      <c r="F33" s="51"/>
      <c r="G33" s="51"/>
      <c r="H33" s="51"/>
      <c r="I33" s="53">
        <f t="shared" si="0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30" x14ac:dyDescent="0.2">
      <c r="A34" s="50"/>
      <c r="B34" s="9" t="s">
        <v>351</v>
      </c>
      <c r="C34" s="56"/>
      <c r="D34" s="56"/>
      <c r="E34" s="56"/>
      <c r="F34" s="56"/>
      <c r="G34" s="56">
        <f>'Dettaglio contributi c-capitale'!J405</f>
        <v>2000</v>
      </c>
      <c r="H34" s="56">
        <v>0</v>
      </c>
      <c r="I34" s="53">
        <f t="shared" si="0"/>
        <v>2000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" x14ac:dyDescent="0.2">
      <c r="A35" s="50">
        <v>21</v>
      </c>
      <c r="B35" s="438" t="s">
        <v>357</v>
      </c>
      <c r="C35" s="51"/>
      <c r="D35" s="51"/>
      <c r="E35" s="51"/>
      <c r="F35" s="51"/>
      <c r="G35" s="51"/>
      <c r="H35" s="51"/>
      <c r="I35" s="53">
        <f t="shared" si="0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x14ac:dyDescent="0.15">
      <c r="A36" s="50"/>
      <c r="B36" s="447" t="s">
        <v>838</v>
      </c>
      <c r="C36" s="56"/>
      <c r="D36" s="56"/>
      <c r="E36" s="56"/>
      <c r="F36" s="56"/>
      <c r="G36" s="56">
        <f>'Dettaglio contributi c-capitale'!J403</f>
        <v>7655</v>
      </c>
      <c r="H36" s="56">
        <v>0</v>
      </c>
      <c r="I36" s="53">
        <f t="shared" si="0"/>
        <v>7655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" x14ac:dyDescent="0.2">
      <c r="A37" s="50">
        <v>22</v>
      </c>
      <c r="B37" s="444" t="s">
        <v>833</v>
      </c>
      <c r="C37" s="51"/>
      <c r="D37" s="51"/>
      <c r="E37" s="51"/>
      <c r="F37" s="51"/>
      <c r="G37" s="51"/>
      <c r="H37" s="51"/>
      <c r="I37" s="53">
        <f t="shared" si="0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x14ac:dyDescent="0.15">
      <c r="A38" s="50"/>
      <c r="B38" s="447" t="s">
        <v>838</v>
      </c>
      <c r="C38" s="56"/>
      <c r="D38" s="56"/>
      <c r="E38" s="56"/>
      <c r="F38" s="56"/>
      <c r="G38" s="56">
        <f>'Dettaglio contributi c-capitale'!J453</f>
        <v>3208</v>
      </c>
      <c r="H38" s="56">
        <v>0</v>
      </c>
      <c r="I38" s="53">
        <f t="shared" si="0"/>
        <v>3208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x14ac:dyDescent="0.2">
      <c r="A39" s="50">
        <v>26</v>
      </c>
      <c r="B39" s="445" t="s">
        <v>669</v>
      </c>
      <c r="C39" s="51"/>
      <c r="D39" s="51"/>
      <c r="E39" s="51"/>
      <c r="F39" s="51"/>
      <c r="G39" s="51"/>
      <c r="H39" s="51"/>
      <c r="I39" s="53">
        <f t="shared" si="0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" x14ac:dyDescent="0.15">
      <c r="A40" s="50"/>
      <c r="B40" s="447" t="s">
        <v>838</v>
      </c>
      <c r="C40" s="56"/>
      <c r="D40" s="56"/>
      <c r="E40" s="56"/>
      <c r="F40" s="56"/>
      <c r="G40" s="56">
        <f>'Dettaglio contributi c-capitale'!J443</f>
        <v>3321</v>
      </c>
      <c r="H40" s="56">
        <v>0</v>
      </c>
      <c r="I40" s="53">
        <f t="shared" si="0"/>
        <v>3321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" x14ac:dyDescent="0.2">
      <c r="A41" s="50">
        <v>27</v>
      </c>
      <c r="B41" s="445" t="s">
        <v>834</v>
      </c>
      <c r="C41" s="51"/>
      <c r="D41" s="51"/>
      <c r="E41" s="51"/>
      <c r="F41" s="51"/>
      <c r="G41" s="51"/>
      <c r="H41" s="51"/>
      <c r="I41" s="53">
        <f t="shared" si="0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" x14ac:dyDescent="0.15">
      <c r="A42" s="50"/>
      <c r="B42" s="447" t="s">
        <v>838</v>
      </c>
      <c r="C42" s="56"/>
      <c r="D42" s="56"/>
      <c r="E42" s="56"/>
      <c r="F42" s="56"/>
      <c r="G42" s="56">
        <f>'Dettaglio contributi c-capitale'!J446</f>
        <v>3857</v>
      </c>
      <c r="H42" s="56">
        <v>0</v>
      </c>
      <c r="I42" s="53">
        <f t="shared" si="0"/>
        <v>3857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" x14ac:dyDescent="0.2">
      <c r="A43" s="50">
        <v>30</v>
      </c>
      <c r="B43" s="445" t="s">
        <v>835</v>
      </c>
      <c r="C43" s="51"/>
      <c r="D43" s="51"/>
      <c r="E43" s="51"/>
      <c r="F43" s="51"/>
      <c r="G43" s="51"/>
      <c r="H43" s="51"/>
      <c r="I43" s="53">
        <f t="shared" si="0"/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x14ac:dyDescent="0.15">
      <c r="A44" s="50"/>
      <c r="B44" s="447" t="s">
        <v>838</v>
      </c>
      <c r="C44" s="56"/>
      <c r="D44" s="56"/>
      <c r="E44" s="56"/>
      <c r="F44" s="56"/>
      <c r="G44" s="56">
        <f>'Dettaglio contributi c-capitale'!J457</f>
        <v>16138</v>
      </c>
      <c r="H44" s="56"/>
      <c r="I44" s="53">
        <f t="shared" si="0"/>
        <v>16138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" x14ac:dyDescent="0.2">
      <c r="A45" s="50">
        <v>31</v>
      </c>
      <c r="B45" s="439" t="s">
        <v>367</v>
      </c>
      <c r="C45" s="51"/>
      <c r="D45" s="51"/>
      <c r="E45" s="4"/>
      <c r="F45" s="4"/>
      <c r="G45" s="51"/>
      <c r="H45" s="51"/>
      <c r="I45" s="53">
        <f t="shared" si="0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" x14ac:dyDescent="0.15">
      <c r="A46" s="50"/>
      <c r="B46" s="447" t="s">
        <v>838</v>
      </c>
      <c r="C46" s="56"/>
      <c r="D46" s="56"/>
      <c r="E46" s="56"/>
      <c r="F46" s="56"/>
      <c r="G46" s="56">
        <f>'Dettaglio contributi c-capitale'!J456</f>
        <v>4263</v>
      </c>
      <c r="H46" s="56"/>
      <c r="I46" s="53">
        <f t="shared" si="0"/>
        <v>4263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" x14ac:dyDescent="0.2">
      <c r="A47" s="50">
        <v>33</v>
      </c>
      <c r="B47" s="439" t="s">
        <v>368</v>
      </c>
      <c r="C47" s="56"/>
      <c r="D47" s="56"/>
      <c r="E47" s="56"/>
      <c r="F47" s="56"/>
      <c r="G47" s="56"/>
      <c r="H47" s="56"/>
      <c r="I47" s="53">
        <f t="shared" si="0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x14ac:dyDescent="0.15">
      <c r="A48" s="50"/>
      <c r="B48" s="447" t="s">
        <v>838</v>
      </c>
      <c r="C48" s="56"/>
      <c r="D48" s="56"/>
      <c r="E48" s="56"/>
      <c r="F48" s="56"/>
      <c r="G48" s="56">
        <f>'Dettaglio contributi c-capitale'!J449</f>
        <v>5562</v>
      </c>
      <c r="H48" s="56"/>
      <c r="I48" s="53">
        <f t="shared" si="0"/>
        <v>5562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" x14ac:dyDescent="0.2">
      <c r="A49" s="50"/>
      <c r="B49" s="445" t="s">
        <v>836</v>
      </c>
      <c r="C49" s="56"/>
      <c r="D49" s="56"/>
      <c r="E49" s="56"/>
      <c r="F49" s="56"/>
      <c r="G49" s="56"/>
      <c r="H49" s="56"/>
      <c r="I49" s="53">
        <f t="shared" si="0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" x14ac:dyDescent="0.15">
      <c r="A50" s="50"/>
      <c r="B50" s="447" t="s">
        <v>837</v>
      </c>
      <c r="C50" s="56"/>
      <c r="D50" s="56"/>
      <c r="E50" s="56"/>
      <c r="F50" s="56"/>
      <c r="G50" s="56">
        <f>'Dettaglio contributi c-capitale'!J455</f>
        <v>2317</v>
      </c>
      <c r="H50" s="56"/>
      <c r="I50" s="53">
        <f t="shared" si="0"/>
        <v>2317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" x14ac:dyDescent="0.2">
      <c r="A51" s="50"/>
      <c r="B51" s="444" t="s">
        <v>753</v>
      </c>
      <c r="C51" s="56"/>
      <c r="D51" s="56"/>
      <c r="E51" s="56"/>
      <c r="F51" s="56"/>
      <c r="G51" s="56"/>
      <c r="H51" s="56"/>
      <c r="I51" s="53">
        <f t="shared" si="0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x14ac:dyDescent="0.15">
      <c r="A52" s="50"/>
      <c r="B52" s="447" t="s">
        <v>837</v>
      </c>
      <c r="C52" s="56"/>
      <c r="D52" s="56"/>
      <c r="E52" s="56"/>
      <c r="F52" s="56"/>
      <c r="G52" s="56">
        <f>'Dettaglio contributi c-capitale'!J461</f>
        <v>4912</v>
      </c>
      <c r="H52" s="56"/>
      <c r="I52" s="53">
        <f t="shared" si="0"/>
        <v>4912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4" x14ac:dyDescent="0.2">
      <c r="A53" s="50"/>
      <c r="B53" s="444" t="s">
        <v>710</v>
      </c>
      <c r="C53" s="56"/>
      <c r="D53" s="56"/>
      <c r="E53" s="56"/>
      <c r="F53" s="56"/>
      <c r="G53" s="56"/>
      <c r="H53" s="56"/>
      <c r="I53" s="53">
        <f t="shared" si="0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" x14ac:dyDescent="0.15">
      <c r="A54" s="50"/>
      <c r="B54" s="447" t="s">
        <v>837</v>
      </c>
      <c r="C54" s="56"/>
      <c r="D54" s="56"/>
      <c r="E54" s="56"/>
      <c r="F54" s="56"/>
      <c r="G54" s="56">
        <f>'Dettaglio contributi c-capitale'!J463</f>
        <v>8730</v>
      </c>
      <c r="H54" s="56"/>
      <c r="I54" s="53">
        <f>SUM(C54:H54)</f>
        <v>8730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4" x14ac:dyDescent="0.2">
      <c r="A55" s="50"/>
      <c r="B55" s="444" t="s">
        <v>603</v>
      </c>
      <c r="C55" s="56"/>
      <c r="D55" s="56"/>
      <c r="E55" s="56"/>
      <c r="F55" s="56"/>
      <c r="G55" s="56"/>
      <c r="H55" s="56"/>
      <c r="I55" s="53">
        <f t="shared" ref="I55:I76" si="1">SUM(C55:H55)</f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" x14ac:dyDescent="0.15">
      <c r="A56" s="50"/>
      <c r="B56" s="447" t="s">
        <v>837</v>
      </c>
      <c r="C56" s="56"/>
      <c r="D56" s="56"/>
      <c r="E56" s="56"/>
      <c r="F56" s="56"/>
      <c r="G56" s="56">
        <f>'Dettaglio contributi c-capitale'!J462</f>
        <v>5276</v>
      </c>
      <c r="H56" s="56"/>
      <c r="I56" s="53">
        <f t="shared" si="1"/>
        <v>5276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" x14ac:dyDescent="0.2">
      <c r="A57" s="50"/>
      <c r="B57" s="444" t="s">
        <v>1060</v>
      </c>
      <c r="C57" s="56"/>
      <c r="D57" s="56"/>
      <c r="E57" s="56"/>
      <c r="F57" s="56"/>
      <c r="G57" s="56"/>
      <c r="H57" s="56"/>
      <c r="I57" s="53">
        <f t="shared" si="1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90" x14ac:dyDescent="0.2">
      <c r="A58" s="50"/>
      <c r="B58" s="276" t="s">
        <v>853</v>
      </c>
      <c r="C58" s="56"/>
      <c r="D58" s="56"/>
      <c r="E58" s="56">
        <f>Straordinario_2023!D11</f>
        <v>15938</v>
      </c>
      <c r="F58" s="56">
        <f>Straordinario_2023!E11</f>
        <v>62</v>
      </c>
      <c r="G58" s="56"/>
      <c r="H58" s="56"/>
      <c r="I58" s="53">
        <f t="shared" si="1"/>
        <v>16000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" x14ac:dyDescent="0.2">
      <c r="A59" s="50"/>
      <c r="B59" s="444" t="s">
        <v>1126</v>
      </c>
      <c r="C59" s="56"/>
      <c r="D59" s="56"/>
      <c r="E59" s="56"/>
      <c r="F59" s="56"/>
      <c r="G59" s="56"/>
      <c r="H59" s="56"/>
      <c r="I59" s="5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" x14ac:dyDescent="0.2">
      <c r="A60" s="50"/>
      <c r="B60" s="276" t="s">
        <v>1159</v>
      </c>
      <c r="C60" s="56"/>
      <c r="D60" s="56"/>
      <c r="E60" s="56">
        <f>Straordinario_2023!D7</f>
        <v>8660</v>
      </c>
      <c r="F60" s="56">
        <f>Straordinario_2023!E7</f>
        <v>2423.25</v>
      </c>
      <c r="G60" s="56"/>
      <c r="H60" s="56"/>
      <c r="I60" s="53">
        <f t="shared" si="1"/>
        <v>11083.25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4" x14ac:dyDescent="0.2">
      <c r="A61" s="50"/>
      <c r="B61" s="444" t="s">
        <v>1161</v>
      </c>
      <c r="C61" s="56"/>
      <c r="D61" s="56"/>
      <c r="E61" s="56"/>
      <c r="G61" s="56"/>
      <c r="H61" s="56"/>
      <c r="I61" s="5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30" x14ac:dyDescent="0.2">
      <c r="A62" s="50"/>
      <c r="B62" s="276" t="s">
        <v>1162</v>
      </c>
      <c r="C62" s="56">
        <f>Straordinario_2023!F12</f>
        <v>33240</v>
      </c>
      <c r="D62" s="56"/>
      <c r="E62" s="56">
        <f>Straordinario_2023!D12</f>
        <v>14552.4</v>
      </c>
      <c r="F62" s="56">
        <f>Straordinario_2023!E12</f>
        <v>713.76</v>
      </c>
      <c r="G62" s="56"/>
      <c r="H62" s="56"/>
      <c r="I62" s="53">
        <f t="shared" si="1"/>
        <v>48506.16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4" x14ac:dyDescent="0.2">
      <c r="A63" s="50"/>
      <c r="B63" s="444" t="s">
        <v>1059</v>
      </c>
      <c r="C63" s="56"/>
      <c r="D63" s="56"/>
      <c r="E63" s="56"/>
      <c r="F63" s="56"/>
      <c r="G63" s="56"/>
      <c r="H63" s="56"/>
      <c r="I63" s="5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" x14ac:dyDescent="0.2">
      <c r="A64" s="50"/>
      <c r="B64" s="276" t="s">
        <v>1160</v>
      </c>
      <c r="C64" s="56"/>
      <c r="D64" s="56">
        <f>Straordinario_2023!C9</f>
        <v>9638.51</v>
      </c>
      <c r="E64" s="56">
        <f>Straordinario_2023!D9</f>
        <v>111808.87000000001</v>
      </c>
      <c r="F64" s="56">
        <f>Straordinario_2023!E9</f>
        <v>1085.6300000000001</v>
      </c>
      <c r="G64" s="56">
        <f>Straordinario_2023!H9</f>
        <v>2434.7285000000006</v>
      </c>
      <c r="H64" s="56"/>
      <c r="I64" s="53">
        <f t="shared" si="1"/>
        <v>124967.73850000001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" x14ac:dyDescent="0.2">
      <c r="A65" s="50"/>
      <c r="B65" s="444" t="s">
        <v>1062</v>
      </c>
      <c r="C65" s="56"/>
      <c r="D65" s="56"/>
      <c r="E65" s="56"/>
      <c r="F65" s="56"/>
      <c r="G65" s="56"/>
      <c r="H65" s="56"/>
      <c r="I65" s="5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30" x14ac:dyDescent="0.2">
      <c r="A66" s="50"/>
      <c r="B66" s="276" t="s">
        <v>1163</v>
      </c>
      <c r="C66" s="56"/>
      <c r="D66" s="56"/>
      <c r="E66" s="56">
        <f>Straordinario_2023!D14</f>
        <v>10000</v>
      </c>
      <c r="F66" s="56"/>
      <c r="G66" s="56"/>
      <c r="H66" s="56"/>
      <c r="I66" s="53">
        <f t="shared" si="1"/>
        <v>10000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" x14ac:dyDescent="0.2">
      <c r="A67" s="50"/>
      <c r="B67" s="444" t="s">
        <v>1056</v>
      </c>
      <c r="C67" s="56"/>
      <c r="D67" s="56"/>
      <c r="E67" s="56"/>
      <c r="F67" s="56"/>
      <c r="G67" s="56"/>
      <c r="H67" s="56"/>
      <c r="I67" s="5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30" x14ac:dyDescent="0.2">
      <c r="A68" s="50"/>
      <c r="B68" s="276" t="s">
        <v>852</v>
      </c>
      <c r="C68" s="56"/>
      <c r="D68" s="56"/>
      <c r="E68" s="56">
        <f>Straordinario_2023!D4</f>
        <v>9851.4500000000007</v>
      </c>
      <c r="F68" s="56">
        <f>Straordinario_2023!E4</f>
        <v>148.55000000000001</v>
      </c>
      <c r="G68" s="56"/>
      <c r="H68" s="56"/>
      <c r="I68" s="53">
        <f t="shared" si="1"/>
        <v>10000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" x14ac:dyDescent="0.2">
      <c r="A69" s="50"/>
      <c r="B69" s="444" t="s">
        <v>1057</v>
      </c>
      <c r="C69" s="56"/>
      <c r="D69" s="56"/>
      <c r="E69" s="56"/>
      <c r="F69" s="56"/>
      <c r="G69" s="56"/>
      <c r="H69" s="56"/>
      <c r="I69" s="5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45" x14ac:dyDescent="0.2">
      <c r="A70" s="50"/>
      <c r="B70" s="276" t="s">
        <v>1158</v>
      </c>
      <c r="C70" s="56"/>
      <c r="D70" s="56">
        <f>Straordinario_2023!C5</f>
        <v>1906</v>
      </c>
      <c r="E70" s="56">
        <f>Straordinario_2023!D5</f>
        <v>6000</v>
      </c>
      <c r="F70" s="56">
        <f>Straordinario_2023!E5</f>
        <v>0</v>
      </c>
      <c r="G70" s="56"/>
      <c r="H70" s="56"/>
      <c r="I70" s="53">
        <f t="shared" si="1"/>
        <v>7906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4" x14ac:dyDescent="0.2">
      <c r="A71" s="50"/>
      <c r="B71" s="444" t="s">
        <v>1064</v>
      </c>
      <c r="C71" s="56"/>
      <c r="D71" s="56"/>
      <c r="E71" s="56"/>
      <c r="F71" s="56"/>
      <c r="G71" s="56"/>
      <c r="H71" s="56"/>
      <c r="I71" s="5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45" x14ac:dyDescent="0.2">
      <c r="A72" s="50"/>
      <c r="B72" s="276" t="s">
        <v>1157</v>
      </c>
      <c r="C72" s="56"/>
      <c r="D72" s="56"/>
      <c r="E72" s="56"/>
      <c r="F72" s="56">
        <f>Straordinario_2023!E19</f>
        <v>645.27</v>
      </c>
      <c r="G72" s="56"/>
      <c r="H72" s="56"/>
      <c r="I72" s="53">
        <f t="shared" si="1"/>
        <v>645.27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4" x14ac:dyDescent="0.2">
      <c r="A73" s="50"/>
      <c r="B73" s="438" t="s">
        <v>353</v>
      </c>
      <c r="C73" s="51"/>
      <c r="D73" s="51"/>
      <c r="E73" s="51"/>
      <c r="F73" s="51"/>
      <c r="G73" s="51"/>
      <c r="H73" s="51"/>
      <c r="I73" s="53">
        <f t="shared" si="1"/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" x14ac:dyDescent="0.15">
      <c r="A74" s="50"/>
      <c r="B74" s="447" t="s">
        <v>838</v>
      </c>
      <c r="C74" s="56"/>
      <c r="D74" s="56"/>
      <c r="E74" s="56"/>
      <c r="F74" s="56"/>
      <c r="G74" s="56">
        <f>'Dettaglio contributi c-capitale'!J440</f>
        <v>1578</v>
      </c>
      <c r="H74" s="56">
        <v>0</v>
      </c>
      <c r="I74" s="53">
        <f t="shared" si="1"/>
        <v>1578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" x14ac:dyDescent="0.2">
      <c r="A75" s="50"/>
      <c r="B75" s="438" t="s">
        <v>106</v>
      </c>
      <c r="C75" s="51"/>
      <c r="D75" s="51"/>
      <c r="E75" s="51"/>
      <c r="F75" s="51"/>
      <c r="G75" s="51"/>
      <c r="H75" s="51"/>
      <c r="I75" s="53">
        <f t="shared" si="1"/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" x14ac:dyDescent="0.15">
      <c r="A76" s="50"/>
      <c r="B76" s="447" t="s">
        <v>838</v>
      </c>
      <c r="C76" s="56"/>
      <c r="D76" s="56"/>
      <c r="E76" s="56"/>
      <c r="F76" s="56"/>
      <c r="G76" s="56">
        <f>'Dettaglio contributi c-capitale'!J451</f>
        <v>3855</v>
      </c>
      <c r="H76" s="56">
        <v>0</v>
      </c>
      <c r="I76" s="53">
        <f t="shared" si="1"/>
        <v>3855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15">
      <c r="A77" s="5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15">
      <c r="A78" s="5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15">
      <c r="A79" s="5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15">
      <c r="A80" s="5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15">
      <c r="A81" s="5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15">
      <c r="A82" s="5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15">
      <c r="A83" s="5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15">
      <c r="A84" s="5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15">
      <c r="A85" s="5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15">
      <c r="A86" s="5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15">
      <c r="A87" s="5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15">
      <c r="A88" s="5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15">
      <c r="A89" s="5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15">
      <c r="A90" s="5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15">
      <c r="A91" s="5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15">
      <c r="A92" s="5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15">
      <c r="A93" s="5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15">
      <c r="A94" s="5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15">
      <c r="A95" s="5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15">
      <c r="A96" s="5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15">
      <c r="A97" s="5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15">
      <c r="A98" s="5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15">
      <c r="A99" s="5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15">
      <c r="A100" s="5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15">
      <c r="A101" s="5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15">
      <c r="A102" s="5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15">
      <c r="A103" s="5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15">
      <c r="A104" s="5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15">
      <c r="A105" s="5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15">
      <c r="A106" s="5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15">
      <c r="A107" s="5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15">
      <c r="A108" s="5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15">
      <c r="A109" s="5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15">
      <c r="A110" s="5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15">
      <c r="A111" s="5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15">
      <c r="A112" s="5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15">
      <c r="A113" s="5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15">
      <c r="A114" s="5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15">
      <c r="A115" s="5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15">
      <c r="A116" s="5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15">
      <c r="A117" s="5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15">
      <c r="A118" s="5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15">
      <c r="A119" s="5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15">
      <c r="A120" s="5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15">
      <c r="A121" s="5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15">
      <c r="A122" s="5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15">
      <c r="A123" s="5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15">
      <c r="A124" s="5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15">
      <c r="A125" s="5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15">
      <c r="A126" s="5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15">
      <c r="A127" s="5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15">
      <c r="A128" s="5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15">
      <c r="A129" s="5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15">
      <c r="A130" s="5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15">
      <c r="A131" s="5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15">
      <c r="A132" s="5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15">
      <c r="A133" s="5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15">
      <c r="A134" s="5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15">
      <c r="A135" s="5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15">
      <c r="A136" s="5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15">
      <c r="A137" s="5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15">
      <c r="A138" s="5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15">
      <c r="A139" s="5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15">
      <c r="A140" s="5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15">
      <c r="A141" s="5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15">
      <c r="A142" s="5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15">
      <c r="A143" s="5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15">
      <c r="A144" s="5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15">
      <c r="A145" s="5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15">
      <c r="A146" s="5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15">
      <c r="A147" s="5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15">
      <c r="A148" s="5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15">
      <c r="A149" s="5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15">
      <c r="A150" s="5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15">
      <c r="A151" s="5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15">
      <c r="A152" s="5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15">
      <c r="A153" s="5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15">
      <c r="A154" s="5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15">
      <c r="A155" s="5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15">
      <c r="A156" s="5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15">
      <c r="A157" s="5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15">
      <c r="A158" s="5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15">
      <c r="A159" s="5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15">
      <c r="A160" s="5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15">
      <c r="A161" s="5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15">
      <c r="A162" s="5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15">
      <c r="A163" s="5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15">
      <c r="A164" s="5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15">
      <c r="A165" s="5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15">
      <c r="A166" s="5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15">
      <c r="A167" s="5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15">
      <c r="A168" s="5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15">
      <c r="A169" s="5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15">
      <c r="A170" s="5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15">
      <c r="A171" s="5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15">
      <c r="A172" s="5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15">
      <c r="A173" s="5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15">
      <c r="A174" s="5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15">
      <c r="A175" s="5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15">
      <c r="A176" s="5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15">
      <c r="A177" s="5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15">
      <c r="A178" s="5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15">
      <c r="A179" s="5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15">
      <c r="A180" s="5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15">
      <c r="A181" s="5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15">
      <c r="A182" s="5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15">
      <c r="A183" s="5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15">
      <c r="A184" s="5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15">
      <c r="A185" s="5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15">
      <c r="A186" s="5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15">
      <c r="A187" s="5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15">
      <c r="A188" s="5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15">
      <c r="A189" s="5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15">
      <c r="A190" s="5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15">
      <c r="A191" s="5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15">
      <c r="A192" s="5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15">
      <c r="A193" s="5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15">
      <c r="A194" s="5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15">
      <c r="A195" s="5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15">
      <c r="A196" s="5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15">
      <c r="A197" s="5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15">
      <c r="A198" s="5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15">
      <c r="A199" s="5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15">
      <c r="A200" s="5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15">
      <c r="A201" s="5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15">
      <c r="A202" s="5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15">
      <c r="A203" s="5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15">
      <c r="A204" s="5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15">
      <c r="A205" s="5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15">
      <c r="A206" s="5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15">
      <c r="A207" s="5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15">
      <c r="A208" s="5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15">
      <c r="A209" s="5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15">
      <c r="A210" s="5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15">
      <c r="A211" s="5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15">
      <c r="A212" s="5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15">
      <c r="A213" s="5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15">
      <c r="A214" s="5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15">
      <c r="A215" s="5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15">
      <c r="A216" s="5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15">
      <c r="A217" s="5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15">
      <c r="A218" s="5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15">
      <c r="A219" s="5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15">
      <c r="A220" s="5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15">
      <c r="A221" s="5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15">
      <c r="A222" s="5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15">
      <c r="A223" s="5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15">
      <c r="A224" s="5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15">
      <c r="A225" s="5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15">
      <c r="A226" s="5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15">
      <c r="A227" s="5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15">
      <c r="A228" s="5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15">
      <c r="A229" s="5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15">
      <c r="A230" s="5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15">
      <c r="A231" s="5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15">
      <c r="A232" s="5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15">
      <c r="A233" s="5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15">
      <c r="A234" s="5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15">
      <c r="A235" s="5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15">
      <c r="A236" s="5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15">
      <c r="A237" s="5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15">
      <c r="A238" s="5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15">
      <c r="A239" s="5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15">
      <c r="A240" s="5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15">
      <c r="A241" s="5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15">
      <c r="A242" s="5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15">
      <c r="A243" s="5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15">
      <c r="A244" s="5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15">
      <c r="A245" s="5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15">
      <c r="A246" s="5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15">
      <c r="A247" s="5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15">
      <c r="A248" s="5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15">
      <c r="A249" s="5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15">
      <c r="A250" s="5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15">
      <c r="A251" s="5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15">
      <c r="A252" s="5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15">
      <c r="A253" s="5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15">
      <c r="A254" s="5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15">
      <c r="A255" s="5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15">
      <c r="A256" s="5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15">
      <c r="A257" s="5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15">
      <c r="A258" s="5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15">
      <c r="A259" s="5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15">
      <c r="A260" s="5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15">
      <c r="A261" s="5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15">
      <c r="A262" s="5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15">
      <c r="A263" s="5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15">
      <c r="A264" s="5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15">
      <c r="A265" s="5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15">
      <c r="A266" s="5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15">
      <c r="A267" s="5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15">
      <c r="A268" s="5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15">
      <c r="A269" s="5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15">
      <c r="A270" s="5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15">
      <c r="A271" s="5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15">
      <c r="A272" s="5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15">
      <c r="A273" s="5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15">
      <c r="A274" s="5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15">
      <c r="A275" s="5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15">
      <c r="A276" s="5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15">
      <c r="A277" s="5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15">
      <c r="A278" s="5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15">
      <c r="A279" s="5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15">
      <c r="A280" s="5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15">
      <c r="A281" s="5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15">
      <c r="A282" s="5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15">
      <c r="A283" s="5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15">
      <c r="A284" s="5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15">
      <c r="A285" s="5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15">
      <c r="A286" s="5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15">
      <c r="A287" s="5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15">
      <c r="A288" s="5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15">
      <c r="A289" s="5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15">
      <c r="A290" s="5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15">
      <c r="A291" s="5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15">
      <c r="A292" s="5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15">
      <c r="A293" s="5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15">
      <c r="A294" s="5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15">
      <c r="A295" s="5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15">
      <c r="A296" s="5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15">
      <c r="A297" s="5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15">
      <c r="A298" s="5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15">
      <c r="A299" s="5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15">
      <c r="A300" s="5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15">
      <c r="A301" s="5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15">
      <c r="A302" s="5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15">
      <c r="A303" s="5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15">
      <c r="A304" s="5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15">
      <c r="A305" s="5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15">
      <c r="A306" s="5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15">
      <c r="A307" s="5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15">
      <c r="A308" s="5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15">
      <c r="A309" s="5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15">
      <c r="A310" s="5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15">
      <c r="A311" s="5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15">
      <c r="A312" s="5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15">
      <c r="A313" s="5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15">
      <c r="A314" s="5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15">
      <c r="A315" s="5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15">
      <c r="A316" s="5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15">
      <c r="A317" s="5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15">
      <c r="A318" s="5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15">
      <c r="A319" s="5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15">
      <c r="A320" s="5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15">
      <c r="A321" s="5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15">
      <c r="A322" s="5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15">
      <c r="A323" s="5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15">
      <c r="A324" s="5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15">
      <c r="A325" s="5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15">
      <c r="A326" s="5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15">
      <c r="A327" s="5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15">
      <c r="A328" s="5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15">
      <c r="A329" s="5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15">
      <c r="A330" s="5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15">
      <c r="A331" s="5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15">
      <c r="A332" s="5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15">
      <c r="A333" s="5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15">
      <c r="A334" s="5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15">
      <c r="A335" s="5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15">
      <c r="A336" s="5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15">
      <c r="A337" s="5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15">
      <c r="A338" s="5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15">
      <c r="A339" s="5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15">
      <c r="A340" s="5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15">
      <c r="A341" s="5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15">
      <c r="A342" s="5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15">
      <c r="A343" s="5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15">
      <c r="A344" s="5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15">
      <c r="A345" s="5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15">
      <c r="A346" s="5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15">
      <c r="A347" s="5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15">
      <c r="A348" s="5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15">
      <c r="A349" s="5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15">
      <c r="A350" s="5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15">
      <c r="A351" s="5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15">
      <c r="A352" s="5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15">
      <c r="A353" s="5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15">
      <c r="A354" s="5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15">
      <c r="A355" s="5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15">
      <c r="A356" s="5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15">
      <c r="A357" s="5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15">
      <c r="A358" s="5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15">
      <c r="A359" s="5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15">
      <c r="A360" s="5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15">
      <c r="A361" s="5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15">
      <c r="A362" s="5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15">
      <c r="A363" s="5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15">
      <c r="A364" s="5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15">
      <c r="A365" s="5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15">
      <c r="A366" s="5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15">
      <c r="A367" s="5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15">
      <c r="A368" s="5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15">
      <c r="A369" s="5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15">
      <c r="A370" s="5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15">
      <c r="A371" s="5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15">
      <c r="A372" s="5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15">
      <c r="A373" s="5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15">
      <c r="A374" s="5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15">
      <c r="A375" s="5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15">
      <c r="A376" s="5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15">
      <c r="A377" s="5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15">
      <c r="A378" s="5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15">
      <c r="A379" s="5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15">
      <c r="A380" s="5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15">
      <c r="A381" s="5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15">
      <c r="A382" s="5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15">
      <c r="A383" s="5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15">
      <c r="A384" s="5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15">
      <c r="A385" s="5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15">
      <c r="A386" s="5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15">
      <c r="A387" s="5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15">
      <c r="A388" s="5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15">
      <c r="A389" s="5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15">
      <c r="A390" s="5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15">
      <c r="A391" s="5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15">
      <c r="A392" s="5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15">
      <c r="A393" s="5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15">
      <c r="A394" s="5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15">
      <c r="A395" s="5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15">
      <c r="A396" s="5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15">
      <c r="A397" s="5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15">
      <c r="A398" s="5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15">
      <c r="A399" s="5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15">
      <c r="A400" s="5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15">
      <c r="A401" s="5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15">
      <c r="A402" s="5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15">
      <c r="A403" s="5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15">
      <c r="A404" s="5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15">
      <c r="A405" s="5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15">
      <c r="A406" s="5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15">
      <c r="A407" s="5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15">
      <c r="A408" s="5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15">
      <c r="A409" s="5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15">
      <c r="A410" s="5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15">
      <c r="A411" s="5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15">
      <c r="A412" s="5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15">
      <c r="A413" s="5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15">
      <c r="A414" s="5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15">
      <c r="A415" s="5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15">
      <c r="A416" s="5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15">
      <c r="A417" s="5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15">
      <c r="A418" s="5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15">
      <c r="A419" s="5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15">
      <c r="A420" s="5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15">
      <c r="A421" s="5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15">
      <c r="A422" s="5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15">
      <c r="A423" s="5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15">
      <c r="A424" s="5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15">
      <c r="A425" s="5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15">
      <c r="A426" s="5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15">
      <c r="A427" s="5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15">
      <c r="A428" s="5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15">
      <c r="A429" s="5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15">
      <c r="A430" s="5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15">
      <c r="A431" s="5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15">
      <c r="A432" s="5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15">
      <c r="A433" s="5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15">
      <c r="A434" s="5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15">
      <c r="A435" s="5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15">
      <c r="A436" s="5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15">
      <c r="A437" s="5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15">
      <c r="A438" s="5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15">
      <c r="A439" s="5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15">
      <c r="A440" s="5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15">
      <c r="A441" s="5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15">
      <c r="A442" s="5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15">
      <c r="A443" s="5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15">
      <c r="A444" s="5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15">
      <c r="A445" s="5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15">
      <c r="A446" s="5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15">
      <c r="A447" s="5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15">
      <c r="A448" s="5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15">
      <c r="A449" s="5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15">
      <c r="A450" s="5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15">
      <c r="A451" s="5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15">
      <c r="A452" s="5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15">
      <c r="A453" s="5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15">
      <c r="A454" s="5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15">
      <c r="A455" s="5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15">
      <c r="A456" s="5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15">
      <c r="A457" s="5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15">
      <c r="A458" s="5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15">
      <c r="A459" s="5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15">
      <c r="A460" s="5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15">
      <c r="A461" s="5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15">
      <c r="A462" s="5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15">
      <c r="A463" s="5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15">
      <c r="A464" s="5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15">
      <c r="A465" s="5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15">
      <c r="A466" s="5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15">
      <c r="A467" s="5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15">
      <c r="A468" s="5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15">
      <c r="A469" s="5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15">
      <c r="A470" s="5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15">
      <c r="A471" s="5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15">
      <c r="A472" s="5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15">
      <c r="A473" s="5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15">
      <c r="A474" s="5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15">
      <c r="A475" s="5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15">
      <c r="A476" s="5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15">
      <c r="A477" s="5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15">
      <c r="A478" s="5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15">
      <c r="A479" s="5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15">
      <c r="A480" s="5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15">
      <c r="A481" s="5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15">
      <c r="A482" s="5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15">
      <c r="A483" s="5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15">
      <c r="A484" s="5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15">
      <c r="A485" s="5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15">
      <c r="A486" s="5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15">
      <c r="A487" s="5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15">
      <c r="A488" s="5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15">
      <c r="A489" s="5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15">
      <c r="A490" s="5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15">
      <c r="A491" s="5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15">
      <c r="A492" s="5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15">
      <c r="A493" s="5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15">
      <c r="A494" s="5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15">
      <c r="A495" s="5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15">
      <c r="A496" s="5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15">
      <c r="A497" s="5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15">
      <c r="A498" s="5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15">
      <c r="A499" s="5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15">
      <c r="A500" s="5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15">
      <c r="A501" s="5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15">
      <c r="A502" s="5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15">
      <c r="A503" s="5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15">
      <c r="A504" s="5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15">
      <c r="A505" s="5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15">
      <c r="A506" s="5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15">
      <c r="A507" s="5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15">
      <c r="A508" s="5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15">
      <c r="A509" s="5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15">
      <c r="A510" s="5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15">
      <c r="A511" s="5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15">
      <c r="A512" s="5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15">
      <c r="A513" s="5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15">
      <c r="A514" s="5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15">
      <c r="A515" s="5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15">
      <c r="A516" s="5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15">
      <c r="A517" s="5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15">
      <c r="A518" s="5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15">
      <c r="A519" s="5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15">
      <c r="A520" s="5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15">
      <c r="A521" s="5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15">
      <c r="A522" s="5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15">
      <c r="A523" s="5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15">
      <c r="A524" s="5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15">
      <c r="A525" s="5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15">
      <c r="A526" s="5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15">
      <c r="A527" s="5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15">
      <c r="A528" s="5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15">
      <c r="A529" s="5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15">
      <c r="A530" s="5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15">
      <c r="A531" s="5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15">
      <c r="A532" s="5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15">
      <c r="A533" s="5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15">
      <c r="A534" s="5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15">
      <c r="A535" s="5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15">
      <c r="A536" s="5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15">
      <c r="A537" s="5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15">
      <c r="A538" s="5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15">
      <c r="A539" s="5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15">
      <c r="A540" s="5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15">
      <c r="A541" s="5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15">
      <c r="A542" s="5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15">
      <c r="A543" s="5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15">
      <c r="A544" s="5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15">
      <c r="A545" s="5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15">
      <c r="A546" s="5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15">
      <c r="A547" s="5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15">
      <c r="A548" s="5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15">
      <c r="A549" s="5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15">
      <c r="A550" s="5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15">
      <c r="A551" s="5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15">
      <c r="A552" s="5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15">
      <c r="A553" s="5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15">
      <c r="A554" s="5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15">
      <c r="A555" s="5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15">
      <c r="A556" s="5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15">
      <c r="A557" s="5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15">
      <c r="A558" s="5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15">
      <c r="A559" s="5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15">
      <c r="A560" s="5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15">
      <c r="A561" s="5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15">
      <c r="A562" s="5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15">
      <c r="A563" s="5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15">
      <c r="A564" s="5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15">
      <c r="A565" s="5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15">
      <c r="A566" s="5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15">
      <c r="A567" s="5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15">
      <c r="A568" s="5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15">
      <c r="A569" s="5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15">
      <c r="A570" s="5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15">
      <c r="A571" s="5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15">
      <c r="A572" s="5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15">
      <c r="A573" s="5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15">
      <c r="A574" s="5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15">
      <c r="A575" s="5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15">
      <c r="A576" s="5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15">
      <c r="A577" s="5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15">
      <c r="A578" s="5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15">
      <c r="A579" s="5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15">
      <c r="A580" s="5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15">
      <c r="A581" s="5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15">
      <c r="A582" s="5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15">
      <c r="A583" s="5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15">
      <c r="A584" s="5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15">
      <c r="A585" s="5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15">
      <c r="A586" s="5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15">
      <c r="A587" s="5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15">
      <c r="A588" s="5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15">
      <c r="A589" s="5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15">
      <c r="A590" s="5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15">
      <c r="A591" s="5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15">
      <c r="A592" s="5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15">
      <c r="A593" s="5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15">
      <c r="A594" s="5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15">
      <c r="A595" s="5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15">
      <c r="A596" s="5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15">
      <c r="A597" s="5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15">
      <c r="A598" s="5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15">
      <c r="A599" s="5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15">
      <c r="A600" s="5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15">
      <c r="A601" s="5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15">
      <c r="A602" s="5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15">
      <c r="A603" s="5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15">
      <c r="A604" s="5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15">
      <c r="A605" s="5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15">
      <c r="A606" s="5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15">
      <c r="A607" s="5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15">
      <c r="A608" s="5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15">
      <c r="A609" s="5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15">
      <c r="A610" s="5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15">
      <c r="A611" s="5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15">
      <c r="A612" s="5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15">
      <c r="A613" s="5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15">
      <c r="A614" s="5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15">
      <c r="A615" s="5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15">
      <c r="A616" s="5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15">
      <c r="A617" s="5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15">
      <c r="A618" s="5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15">
      <c r="A619" s="5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15">
      <c r="A620" s="5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15">
      <c r="A621" s="5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15">
      <c r="A622" s="5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15">
      <c r="A623" s="5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15">
      <c r="A624" s="5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15">
      <c r="A625" s="5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15">
      <c r="A626" s="5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15">
      <c r="A627" s="5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15">
      <c r="A628" s="5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15">
      <c r="A629" s="5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15">
      <c r="A630" s="5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15">
      <c r="A631" s="5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15">
      <c r="A632" s="5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15">
      <c r="A633" s="5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15">
      <c r="A634" s="5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15">
      <c r="A635" s="5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15">
      <c r="A636" s="5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15">
      <c r="A637" s="5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15">
      <c r="A638" s="5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15">
      <c r="A639" s="5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15">
      <c r="A640" s="5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15">
      <c r="A641" s="5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15">
      <c r="A642" s="5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15">
      <c r="A643" s="5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15">
      <c r="A644" s="5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15">
      <c r="A645" s="5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15">
      <c r="A646" s="5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15">
      <c r="A647" s="5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15">
      <c r="A648" s="5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15">
      <c r="A649" s="5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15">
      <c r="A650" s="5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15">
      <c r="A651" s="5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15">
      <c r="A652" s="5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15">
      <c r="A653" s="5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15">
      <c r="A654" s="5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15">
      <c r="A655" s="5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15">
      <c r="A656" s="5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15">
      <c r="A657" s="5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15">
      <c r="A658" s="5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15">
      <c r="A659" s="5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15">
      <c r="A660" s="5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15">
      <c r="A661" s="5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15">
      <c r="A662" s="5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15">
      <c r="A663" s="5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15">
      <c r="A664" s="5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15">
      <c r="A665" s="5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15">
      <c r="A666" s="5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15">
      <c r="A667" s="5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15">
      <c r="A668" s="5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15">
      <c r="A669" s="5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15">
      <c r="A670" s="5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15">
      <c r="A671" s="5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15">
      <c r="A672" s="5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15">
      <c r="A673" s="5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15">
      <c r="A674" s="5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15">
      <c r="A675" s="5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15">
      <c r="A676" s="5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15">
      <c r="A677" s="5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15">
      <c r="A678" s="5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15">
      <c r="A679" s="5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15">
      <c r="A680" s="5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15">
      <c r="A681" s="5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15">
      <c r="A682" s="5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15">
      <c r="A683" s="5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15">
      <c r="A684" s="5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15">
      <c r="A685" s="5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15">
      <c r="A686" s="5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15">
      <c r="A687" s="5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15">
      <c r="A688" s="5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15">
      <c r="A689" s="5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15">
      <c r="A690" s="5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15">
      <c r="A691" s="5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15">
      <c r="A692" s="5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15">
      <c r="A693" s="5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15">
      <c r="A694" s="5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15">
      <c r="A695" s="5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15">
      <c r="A696" s="5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15">
      <c r="A697" s="5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15">
      <c r="A698" s="5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15">
      <c r="A699" s="5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15">
      <c r="A700" s="5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15">
      <c r="A701" s="5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15">
      <c r="A702" s="5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15">
      <c r="A703" s="5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15">
      <c r="A704" s="5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15">
      <c r="A705" s="5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15">
      <c r="A706" s="5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15">
      <c r="A707" s="5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15">
      <c r="A708" s="5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15">
      <c r="A709" s="5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15">
      <c r="A710" s="5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15">
      <c r="A711" s="5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15">
      <c r="A712" s="5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15">
      <c r="A713" s="5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15">
      <c r="A714" s="5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15">
      <c r="A715" s="5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15">
      <c r="A716" s="5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15">
      <c r="A717" s="5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15">
      <c r="A718" s="5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15">
      <c r="A719" s="5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15">
      <c r="A720" s="5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15">
      <c r="A721" s="5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15">
      <c r="A722" s="5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15">
      <c r="A723" s="5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15">
      <c r="A724" s="5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15">
      <c r="A725" s="5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15">
      <c r="A726" s="5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15">
      <c r="A727" s="5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15">
      <c r="A728" s="5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15">
      <c r="A729" s="5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15">
      <c r="A730" s="5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15">
      <c r="A731" s="5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15">
      <c r="A732" s="5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15">
      <c r="A733" s="5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15">
      <c r="A734" s="5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15">
      <c r="A735" s="5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15">
      <c r="A736" s="5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15">
      <c r="A737" s="5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15">
      <c r="A738" s="5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15">
      <c r="A739" s="5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15">
      <c r="A740" s="5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15">
      <c r="A741" s="5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15">
      <c r="A742" s="5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15">
      <c r="A743" s="5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15">
      <c r="A744" s="5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15">
      <c r="A745" s="5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15">
      <c r="A746" s="5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15">
      <c r="A747" s="5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15">
      <c r="A748" s="5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15">
      <c r="A749" s="5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15">
      <c r="A750" s="5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15">
      <c r="A751" s="5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15">
      <c r="A752" s="5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15">
      <c r="A753" s="5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15">
      <c r="A754" s="5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15">
      <c r="A755" s="5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15">
      <c r="A756" s="5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15">
      <c r="A757" s="5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15">
      <c r="A758" s="5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15">
      <c r="A759" s="5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15">
      <c r="A760" s="5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15">
      <c r="A761" s="5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15">
      <c r="A762" s="5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15">
      <c r="A763" s="5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15">
      <c r="A764" s="5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15">
      <c r="A765" s="5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15">
      <c r="A766" s="5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15">
      <c r="A767" s="5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15">
      <c r="A768" s="5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15">
      <c r="A769" s="5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15">
      <c r="A770" s="5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15">
      <c r="A771" s="5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15">
      <c r="A772" s="5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15">
      <c r="A773" s="5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15">
      <c r="A774" s="5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15">
      <c r="A775" s="5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15">
      <c r="A776" s="5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15">
      <c r="A777" s="5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15">
      <c r="A778" s="5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15">
      <c r="A779" s="5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15">
      <c r="A780" s="5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15">
      <c r="A781" s="5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15">
      <c r="A782" s="5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15">
      <c r="A783" s="5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15">
      <c r="A784" s="5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15">
      <c r="A785" s="5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15">
      <c r="A786" s="5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15">
      <c r="A787" s="5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15">
      <c r="A788" s="5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15">
      <c r="A789" s="5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15">
      <c r="A790" s="5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15">
      <c r="A791" s="5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15">
      <c r="A792" s="5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15">
      <c r="A793" s="5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15">
      <c r="A794" s="5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15">
      <c r="A795" s="5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15">
      <c r="A796" s="5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15">
      <c r="A797" s="5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15">
      <c r="A798" s="5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15">
      <c r="A799" s="5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15">
      <c r="A800" s="5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15">
      <c r="A801" s="5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15">
      <c r="A802" s="5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15">
      <c r="A803" s="5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15">
      <c r="A804" s="5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15">
      <c r="A805" s="5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15">
      <c r="A806" s="5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15">
      <c r="A807" s="5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15">
      <c r="A808" s="5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15">
      <c r="A809" s="5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15">
      <c r="A810" s="5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15">
      <c r="A811" s="5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15">
      <c r="A812" s="5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15">
      <c r="A813" s="5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15">
      <c r="A814" s="5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15">
      <c r="A815" s="5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15">
      <c r="A816" s="5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15">
      <c r="A817" s="5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15">
      <c r="A818" s="5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15">
      <c r="A819" s="5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15">
      <c r="A820" s="5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15">
      <c r="A821" s="5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15">
      <c r="A822" s="5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15">
      <c r="A823" s="5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15">
      <c r="A824" s="5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15">
      <c r="A825" s="5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15">
      <c r="A826" s="5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15">
      <c r="A827" s="5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15">
      <c r="A828" s="5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15">
      <c r="A829" s="5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15">
      <c r="A830" s="5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15">
      <c r="A831" s="5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15">
      <c r="A832" s="5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15">
      <c r="A833" s="5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15">
      <c r="A834" s="5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15">
      <c r="A835" s="5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15">
      <c r="A836" s="5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15">
      <c r="A837" s="5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15">
      <c r="A838" s="5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15">
      <c r="A839" s="5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15">
      <c r="A840" s="5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15">
      <c r="A841" s="5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15">
      <c r="A842" s="5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15">
      <c r="A843" s="5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15">
      <c r="A844" s="5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15">
      <c r="A845" s="5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15">
      <c r="A846" s="5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15">
      <c r="A847" s="5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15">
      <c r="A848" s="5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15">
      <c r="A849" s="5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15">
      <c r="A850" s="5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15">
      <c r="A851" s="5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15">
      <c r="A852" s="5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15">
      <c r="A853" s="5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15">
      <c r="A854" s="5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15">
      <c r="A855" s="5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15">
      <c r="A856" s="5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15">
      <c r="A857" s="5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15">
      <c r="A858" s="5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15">
      <c r="A859" s="5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15">
      <c r="A860" s="5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15">
      <c r="A861" s="5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15">
      <c r="A862" s="5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15">
      <c r="A863" s="5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15">
      <c r="A864" s="5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15">
      <c r="A865" s="5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15">
      <c r="A866" s="5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15">
      <c r="A867" s="5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15">
      <c r="A868" s="5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15">
      <c r="A869" s="5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15">
      <c r="A870" s="5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15">
      <c r="A871" s="5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15">
      <c r="A872" s="5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15">
      <c r="A873" s="5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15">
      <c r="A874" s="5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15">
      <c r="A875" s="5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15">
      <c r="A876" s="5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15">
      <c r="A877" s="5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15">
      <c r="A878" s="5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15">
      <c r="A879" s="5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15">
      <c r="A880" s="5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15">
      <c r="A881" s="5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15">
      <c r="A882" s="5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15">
      <c r="A883" s="5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15">
      <c r="A884" s="5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15">
      <c r="A885" s="5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15">
      <c r="A886" s="5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15">
      <c r="A887" s="5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15">
      <c r="A888" s="5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15">
      <c r="A889" s="5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15">
      <c r="A890" s="5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15">
      <c r="A891" s="5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15">
      <c r="A892" s="5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15">
      <c r="A893" s="5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15">
      <c r="A894" s="5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15">
      <c r="A895" s="5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15">
      <c r="A896" s="5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15">
      <c r="A897" s="5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15">
      <c r="A898" s="5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15">
      <c r="A899" s="5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15">
      <c r="A900" s="5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15">
      <c r="A901" s="5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15">
      <c r="A902" s="5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15">
      <c r="A903" s="5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15">
      <c r="A904" s="5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15">
      <c r="A905" s="5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15">
      <c r="A906" s="5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15">
      <c r="A907" s="5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15">
      <c r="A908" s="5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15">
      <c r="A909" s="5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15">
      <c r="A910" s="5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15">
      <c r="A911" s="5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15">
      <c r="A912" s="5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15">
      <c r="A913" s="5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15">
      <c r="A914" s="5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15">
      <c r="A915" s="5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15">
      <c r="A916" s="5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15">
      <c r="A917" s="5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15">
      <c r="A918" s="5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15">
      <c r="A919" s="5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15">
      <c r="A920" s="5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15">
      <c r="A921" s="5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15">
      <c r="A922" s="5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15">
      <c r="A923" s="5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15">
      <c r="A924" s="5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15">
      <c r="A925" s="5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15">
      <c r="A926" s="5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15">
      <c r="A927" s="5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15">
      <c r="A928" s="5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15">
      <c r="A929" s="5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15">
      <c r="A930" s="5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15">
      <c r="A931" s="5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15">
      <c r="A932" s="5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15">
      <c r="A933" s="5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15">
      <c r="A934" s="5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15">
      <c r="A935" s="5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15">
      <c r="A936" s="5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15">
      <c r="A937" s="5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15">
      <c r="A938" s="5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15">
      <c r="A939" s="5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15">
      <c r="A940" s="5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15">
      <c r="A941" s="5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15">
      <c r="A942" s="5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15">
      <c r="A943" s="5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15">
      <c r="A944" s="5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15">
      <c r="A945" s="5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15">
      <c r="A946" s="5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15">
      <c r="A947" s="5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15">
      <c r="A948" s="5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15">
      <c r="A949" s="5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15">
      <c r="A950" s="5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15">
      <c r="A951" s="5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15">
      <c r="A952" s="5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15">
      <c r="A953" s="5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15">
      <c r="A954" s="5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15">
      <c r="A955" s="5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15">
      <c r="A956" s="5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15">
      <c r="A957" s="5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15">
      <c r="A958" s="5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15">
      <c r="A959" s="5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15">
      <c r="A960" s="5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15">
      <c r="A961" s="5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15">
      <c r="A962" s="5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15">
      <c r="A963" s="5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15">
      <c r="A964" s="5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15">
      <c r="A965" s="5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15">
      <c r="A966" s="5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15">
      <c r="A967" s="5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15">
      <c r="A968" s="5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15">
      <c r="A969" s="5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15">
      <c r="A970" s="5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15">
      <c r="A971" s="5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15">
      <c r="A972" s="5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15">
      <c r="A973" s="5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15">
      <c r="A974" s="5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15">
      <c r="A975" s="5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15">
      <c r="A976" s="5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15">
      <c r="A977" s="5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15">
      <c r="A978" s="5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15">
      <c r="A979" s="5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15">
      <c r="A980" s="5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15">
      <c r="A981" s="5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15">
      <c r="A982" s="5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15">
      <c r="A983" s="5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15">
      <c r="A984" s="5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15">
      <c r="A985" s="5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15">
      <c r="A986" s="5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15">
      <c r="A987" s="5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15">
      <c r="A988" s="5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</sheetData>
  <pageMargins left="0.7" right="0.7" top="0.75" bottom="0.75" header="0" footer="0"/>
  <pageSetup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18"/>
  <sheetViews>
    <sheetView zoomScale="142" zoomScaleNormal="142" workbookViewId="0">
      <selection activeCell="C9" sqref="C9"/>
    </sheetView>
  </sheetViews>
  <sheetFormatPr baseColWidth="10" defaultColWidth="14.5" defaultRowHeight="15" customHeight="1" x14ac:dyDescent="0.15"/>
  <cols>
    <col min="1" max="1" width="9.1640625" customWidth="1"/>
    <col min="2" max="2" width="21.83203125" customWidth="1"/>
    <col min="3" max="3" width="13.5" customWidth="1"/>
    <col min="4" max="4" width="19.5" customWidth="1"/>
    <col min="5" max="5" width="20.5" customWidth="1"/>
    <col min="6" max="6" width="16.1640625" customWidth="1"/>
    <col min="7" max="7" width="14.83203125" customWidth="1"/>
    <col min="8" max="26" width="8.66406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60"/>
      <c r="C2" s="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60"/>
      <c r="C3" s="6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">
      <c r="A4" s="1"/>
      <c r="B4" s="60"/>
      <c r="C4" s="6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thickBot="1" x14ac:dyDescent="0.25">
      <c r="A5" s="1"/>
      <c r="B5" s="60"/>
      <c r="C5" s="6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thickBot="1" x14ac:dyDescent="0.25">
      <c r="A6" s="1"/>
      <c r="B6" s="317" t="s">
        <v>764</v>
      </c>
      <c r="C6" s="318" t="s">
        <v>1121</v>
      </c>
      <c r="D6" s="319" t="s">
        <v>369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1"/>
      <c r="B7" s="316" t="s">
        <v>1122</v>
      </c>
      <c r="C7" s="320">
        <v>5000</v>
      </c>
      <c r="D7" s="321" t="s">
        <v>370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thickBot="1" x14ac:dyDescent="0.25">
      <c r="A8" s="1"/>
      <c r="B8" s="316" t="s">
        <v>977</v>
      </c>
      <c r="C8" s="320">
        <v>105900</v>
      </c>
      <c r="D8" s="321" t="s">
        <v>370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25">
      <c r="A9" s="1"/>
      <c r="B9" s="322" t="s">
        <v>29</v>
      </c>
      <c r="C9" s="323">
        <f>SUM(C7:C8)</f>
        <v>110900</v>
      </c>
      <c r="D9" s="32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60"/>
      <c r="C10" s="6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0"/>
      <c r="C11" s="6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60"/>
      <c r="C12" s="6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0"/>
      <c r="C13" s="6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60"/>
      <c r="C14" s="6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60"/>
      <c r="C15" s="6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60"/>
      <c r="C16" s="6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60"/>
      <c r="C17" s="6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60"/>
      <c r="C18" s="6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60"/>
      <c r="C19" s="6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60"/>
      <c r="C20" s="6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60"/>
      <c r="C21" s="6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60"/>
      <c r="C22" s="6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60"/>
      <c r="C23" s="6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60"/>
      <c r="C24" s="6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60"/>
      <c r="C25" s="6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60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60"/>
      <c r="C27" s="6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60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60"/>
      <c r="C29" s="6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60"/>
      <c r="C30" s="6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60"/>
      <c r="C31" s="6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60"/>
      <c r="C32" s="6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60"/>
      <c r="C33" s="6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60"/>
      <c r="C34" s="6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60"/>
      <c r="C35" s="6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60"/>
      <c r="C36" s="6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60"/>
      <c r="C37" s="6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60"/>
      <c r="C38" s="6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60"/>
      <c r="C39" s="6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60"/>
      <c r="C40" s="6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60"/>
      <c r="C41" s="6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60"/>
      <c r="C42" s="6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60"/>
      <c r="C43" s="6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60"/>
      <c r="C44" s="6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60"/>
      <c r="C45" s="6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60"/>
      <c r="C46" s="6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60"/>
      <c r="C47" s="6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60"/>
      <c r="C48" s="6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60"/>
      <c r="C49" s="6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60"/>
      <c r="C50" s="6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60"/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60"/>
      <c r="C52" s="6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60"/>
      <c r="C53" s="6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60"/>
      <c r="C54" s="6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60"/>
      <c r="C55" s="6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60"/>
      <c r="C56" s="6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60"/>
      <c r="C57" s="6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60"/>
      <c r="C58" s="6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60"/>
      <c r="C59" s="6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60"/>
      <c r="C60" s="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60"/>
      <c r="C61" s="6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60"/>
      <c r="C62" s="6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60"/>
      <c r="C63" s="6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60"/>
      <c r="C64" s="6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60"/>
      <c r="C65" s="6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60"/>
      <c r="C66" s="6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60"/>
      <c r="C67" s="6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60"/>
      <c r="C68" s="6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60"/>
      <c r="C69" s="6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60"/>
      <c r="C70" s="6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60"/>
      <c r="C71" s="6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60"/>
      <c r="C72" s="6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60"/>
      <c r="C73" s="6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60"/>
      <c r="C74" s="6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60"/>
      <c r="C75" s="6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60"/>
      <c r="C76" s="6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60"/>
      <c r="C77" s="6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60"/>
      <c r="C78" s="6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60"/>
      <c r="C79" s="6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60"/>
      <c r="C80" s="6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60"/>
      <c r="C81" s="6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60"/>
      <c r="C82" s="6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60"/>
      <c r="C83" s="6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60"/>
      <c r="C84" s="6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60"/>
      <c r="C85" s="6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60"/>
      <c r="C86" s="6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60"/>
      <c r="C87" s="6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60"/>
      <c r="C88" s="6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60"/>
      <c r="C89" s="6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60"/>
      <c r="C90" s="6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60"/>
      <c r="C91" s="6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60"/>
      <c r="C92" s="6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60"/>
      <c r="C93" s="6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60"/>
      <c r="C94" s="6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60"/>
      <c r="C95" s="6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60"/>
      <c r="C96" s="6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60"/>
      <c r="C97" s="6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60"/>
      <c r="C98" s="6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60"/>
      <c r="C99" s="6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60"/>
      <c r="C100" s="6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60"/>
      <c r="C101" s="6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60"/>
      <c r="C102" s="6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60"/>
      <c r="C103" s="6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60"/>
      <c r="C104" s="6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60"/>
      <c r="C105" s="6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60"/>
      <c r="C106" s="6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60"/>
      <c r="C107" s="6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60"/>
      <c r="C108" s="6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60"/>
      <c r="C109" s="6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60"/>
      <c r="C110" s="6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60"/>
      <c r="C111" s="6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60"/>
      <c r="C112" s="6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60"/>
      <c r="C113" s="6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60"/>
      <c r="C114" s="6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60"/>
      <c r="C115" s="6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60"/>
      <c r="C116" s="6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60"/>
      <c r="C117" s="6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60"/>
      <c r="C118" s="6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60"/>
      <c r="C119" s="6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60"/>
      <c r="C120" s="6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60"/>
      <c r="C121" s="6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60"/>
      <c r="C122" s="6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60"/>
      <c r="C123" s="6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60"/>
      <c r="C124" s="6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60"/>
      <c r="C125" s="6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60"/>
      <c r="C126" s="6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60"/>
      <c r="C127" s="6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60"/>
      <c r="C128" s="6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60"/>
      <c r="C129" s="6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60"/>
      <c r="C130" s="6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60"/>
      <c r="C131" s="6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60"/>
      <c r="C132" s="6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60"/>
      <c r="C133" s="6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60"/>
      <c r="C134" s="6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60"/>
      <c r="C135" s="6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60"/>
      <c r="C136" s="6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60"/>
      <c r="C137" s="6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</sheetData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53"/>
  <sheetViews>
    <sheetView topLeftCell="J61" zoomScale="138" zoomScaleNormal="138" workbookViewId="0">
      <selection activeCell="J93" sqref="J93"/>
    </sheetView>
  </sheetViews>
  <sheetFormatPr baseColWidth="10" defaultColWidth="14.5" defaultRowHeight="15" customHeight="1" x14ac:dyDescent="0.15"/>
  <cols>
    <col min="1" max="1" width="8.83203125" customWidth="1"/>
    <col min="2" max="2" width="53.5" bestFit="1" customWidth="1"/>
    <col min="3" max="3" width="22.1640625" customWidth="1"/>
    <col min="4" max="4" width="15.83203125" customWidth="1"/>
    <col min="5" max="5" width="23" customWidth="1"/>
    <col min="6" max="6" width="13" customWidth="1"/>
    <col min="7" max="7" width="22.5" customWidth="1"/>
    <col min="8" max="8" width="12.5" customWidth="1"/>
    <col min="9" max="9" width="11.5" customWidth="1"/>
    <col min="10" max="10" width="64.83203125" customWidth="1"/>
    <col min="11" max="11" width="20.6640625" customWidth="1"/>
    <col min="12" max="12" width="32.33203125" customWidth="1"/>
    <col min="13" max="13" width="13.33203125" customWidth="1"/>
    <col min="14" max="14" width="11" bestFit="1" customWidth="1"/>
    <col min="15" max="26" width="8.83203125" customWidth="1"/>
  </cols>
  <sheetData>
    <row r="1" spans="1:26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2" t="s">
        <v>371</v>
      </c>
      <c r="B2" s="62" t="s">
        <v>372</v>
      </c>
      <c r="C2" s="59"/>
      <c r="D2" s="63"/>
      <c r="E2" s="59"/>
      <c r="F2" s="59"/>
      <c r="G2" s="59"/>
      <c r="H2" s="1"/>
      <c r="I2" s="62" t="s">
        <v>373</v>
      </c>
      <c r="J2" s="62" t="s">
        <v>374</v>
      </c>
      <c r="K2" s="64"/>
      <c r="L2" s="59"/>
      <c r="M2" s="59"/>
      <c r="N2" s="5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9"/>
      <c r="B3" s="59"/>
      <c r="C3" s="59"/>
      <c r="D3" s="63"/>
      <c r="E3" s="59"/>
      <c r="F3" s="59"/>
      <c r="G3" s="59"/>
      <c r="H3" s="1"/>
      <c r="I3" s="59"/>
      <c r="J3" s="62" t="s">
        <v>375</v>
      </c>
      <c r="K3" s="65">
        <v>50127.55</v>
      </c>
      <c r="L3" s="66" t="s">
        <v>376</v>
      </c>
      <c r="M3" s="59"/>
      <c r="N3" s="5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59"/>
      <c r="B4" s="62" t="s">
        <v>377</v>
      </c>
      <c r="C4" s="67">
        <v>18479.22</v>
      </c>
      <c r="D4" s="63"/>
      <c r="E4" s="62" t="s">
        <v>378</v>
      </c>
      <c r="F4" s="62"/>
      <c r="G4" s="59"/>
      <c r="H4" s="1"/>
      <c r="I4" s="59"/>
      <c r="J4" s="59" t="s">
        <v>379</v>
      </c>
      <c r="K4" s="64">
        <v>30784.97</v>
      </c>
      <c r="L4" s="59"/>
      <c r="M4" s="59"/>
      <c r="N4" s="5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9"/>
      <c r="B5" s="59" t="s">
        <v>380</v>
      </c>
      <c r="C5" s="68">
        <v>18479.22</v>
      </c>
      <c r="D5" s="63"/>
      <c r="E5" s="59"/>
      <c r="F5" s="59"/>
      <c r="G5" s="59"/>
      <c r="H5" s="1"/>
      <c r="I5" s="59"/>
      <c r="J5" s="59" t="s">
        <v>381</v>
      </c>
      <c r="K5" s="64">
        <v>129383.65</v>
      </c>
      <c r="L5" s="59"/>
      <c r="M5" s="59"/>
      <c r="N5" s="5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9"/>
      <c r="B6" s="69">
        <v>2018</v>
      </c>
      <c r="C6" s="68"/>
      <c r="D6" s="63"/>
      <c r="E6" s="59"/>
      <c r="F6" s="59"/>
      <c r="G6" s="59"/>
      <c r="H6" s="1"/>
      <c r="I6" s="59"/>
      <c r="J6" s="59" t="s">
        <v>382</v>
      </c>
      <c r="K6" s="64">
        <v>61710</v>
      </c>
      <c r="L6" s="59" t="s">
        <v>383</v>
      </c>
      <c r="M6" s="59"/>
      <c r="N6" s="5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59"/>
      <c r="B7" s="59" t="s">
        <v>384</v>
      </c>
      <c r="C7" s="68">
        <v>-13685.05</v>
      </c>
      <c r="D7" s="63"/>
      <c r="E7" s="59"/>
      <c r="F7" s="59"/>
      <c r="G7" s="59"/>
      <c r="H7" s="1"/>
      <c r="I7" s="59"/>
      <c r="J7" s="70" t="s">
        <v>385</v>
      </c>
      <c r="K7" s="71">
        <f>SUM(K3:K6)</f>
        <v>272006.17</v>
      </c>
      <c r="L7" s="72">
        <f>181163.47+K12</f>
        <v>177330.04</v>
      </c>
      <c r="M7" s="73" t="s">
        <v>386</v>
      </c>
      <c r="N7" s="5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59"/>
      <c r="B8" s="59" t="s">
        <v>387</v>
      </c>
      <c r="C8" s="68">
        <v>-4794.25</v>
      </c>
      <c r="D8" s="63"/>
      <c r="E8" s="59"/>
      <c r="F8" s="59"/>
      <c r="G8" s="59"/>
      <c r="H8" s="1"/>
      <c r="I8" s="59"/>
      <c r="J8" s="59"/>
      <c r="K8" s="64"/>
      <c r="L8" s="74">
        <f>29132.7+K11</f>
        <v>0</v>
      </c>
      <c r="M8" s="75" t="s">
        <v>388</v>
      </c>
      <c r="N8" s="5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9"/>
      <c r="B9" s="59" t="s">
        <v>389</v>
      </c>
      <c r="C9" s="68">
        <f>24000+32000</f>
        <v>56000</v>
      </c>
      <c r="D9" s="63"/>
      <c r="E9" s="59"/>
      <c r="F9" s="59"/>
      <c r="G9" s="59"/>
      <c r="H9" s="1"/>
      <c r="I9" s="59"/>
      <c r="J9" s="59"/>
      <c r="K9" s="64"/>
      <c r="L9" s="72">
        <f>61710+K13</f>
        <v>61129.2</v>
      </c>
      <c r="M9" s="73" t="s">
        <v>390</v>
      </c>
      <c r="N9" s="5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59"/>
      <c r="B10" s="76" t="s">
        <v>391</v>
      </c>
      <c r="C10" s="77">
        <v>-32000</v>
      </c>
      <c r="D10" s="78"/>
      <c r="E10" s="244">
        <f>+C9+C10</f>
        <v>24000</v>
      </c>
      <c r="F10" s="245" t="s">
        <v>392</v>
      </c>
      <c r="G10" s="246"/>
      <c r="H10" s="1"/>
      <c r="I10" s="59"/>
      <c r="J10" s="59" t="s">
        <v>393</v>
      </c>
      <c r="K10" s="79">
        <v>23629.88</v>
      </c>
      <c r="L10" s="72">
        <f>K10+K14</f>
        <v>23629.88</v>
      </c>
      <c r="M10" s="73" t="s">
        <v>394</v>
      </c>
      <c r="N10" s="5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9"/>
      <c r="B11" s="59" t="s">
        <v>395</v>
      </c>
      <c r="C11" s="68">
        <v>88224.8</v>
      </c>
      <c r="D11" s="63"/>
      <c r="E11" s="247"/>
      <c r="F11" s="247"/>
      <c r="G11" s="247"/>
      <c r="H11" s="1"/>
      <c r="I11" s="59"/>
      <c r="J11" s="59" t="s">
        <v>396</v>
      </c>
      <c r="K11" s="64">
        <v>-29132.7</v>
      </c>
      <c r="L11" s="59"/>
      <c r="M11" s="59"/>
      <c r="N11" s="5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9"/>
      <c r="B12" s="76" t="s">
        <v>397</v>
      </c>
      <c r="C12" s="77">
        <v>-44224.800000000003</v>
      </c>
      <c r="D12" s="78"/>
      <c r="E12" s="244">
        <f>+C11+C12</f>
        <v>44000</v>
      </c>
      <c r="F12" s="245" t="s">
        <v>398</v>
      </c>
      <c r="G12" s="246"/>
      <c r="H12" s="1"/>
      <c r="I12" s="59"/>
      <c r="J12" s="59" t="s">
        <v>399</v>
      </c>
      <c r="K12" s="64">
        <v>-3833.43</v>
      </c>
      <c r="L12" s="59"/>
      <c r="M12" s="59"/>
      <c r="N12" s="5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9"/>
      <c r="B13" s="80" t="s">
        <v>400</v>
      </c>
      <c r="C13" s="81">
        <v>11444.77</v>
      </c>
      <c r="D13" s="82"/>
      <c r="E13" s="248">
        <f>+C13</f>
        <v>11444.77</v>
      </c>
      <c r="F13" s="249" t="s">
        <v>401</v>
      </c>
      <c r="G13" s="250"/>
      <c r="H13" s="1"/>
      <c r="I13" s="59"/>
      <c r="J13" s="59" t="s">
        <v>402</v>
      </c>
      <c r="K13" s="64">
        <v>-580.79999999999995</v>
      </c>
      <c r="L13" s="59"/>
      <c r="M13" s="59"/>
      <c r="N13" s="5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9"/>
      <c r="B14" s="80" t="s">
        <v>403</v>
      </c>
      <c r="C14" s="81">
        <v>95.6</v>
      </c>
      <c r="D14" s="82"/>
      <c r="E14" s="268">
        <f>+C14</f>
        <v>95.6</v>
      </c>
      <c r="F14" s="268" t="s">
        <v>404</v>
      </c>
      <c r="G14" s="269"/>
      <c r="H14" s="1"/>
      <c r="I14" s="59"/>
      <c r="J14" s="59"/>
      <c r="K14" s="64"/>
      <c r="L14" s="59"/>
      <c r="M14" s="59"/>
      <c r="N14" s="5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9"/>
      <c r="B15" s="59"/>
      <c r="C15" s="84" t="s">
        <v>405</v>
      </c>
      <c r="D15" s="63"/>
      <c r="E15" s="252">
        <f>+E10+E12+E13+E14</f>
        <v>79540.37000000001</v>
      </c>
      <c r="F15" s="249"/>
      <c r="G15" s="247"/>
      <c r="H15" s="1"/>
      <c r="I15" s="1"/>
      <c r="J15" s="83" t="s">
        <v>406</v>
      </c>
      <c r="K15" s="85">
        <f>L7+L9+L10</f>
        <v>262089.12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59"/>
      <c r="B16" s="69">
        <v>2019</v>
      </c>
      <c r="C16" s="68"/>
      <c r="D16" s="63"/>
      <c r="E16" s="247"/>
      <c r="F16" s="247"/>
      <c r="G16" s="247"/>
      <c r="H16" s="1"/>
      <c r="I16" s="1"/>
      <c r="J16" s="1" t="s">
        <v>32</v>
      </c>
      <c r="K16" s="46">
        <v>262089.12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59"/>
      <c r="B17" s="59" t="s">
        <v>407</v>
      </c>
      <c r="C17" s="68">
        <v>-24000</v>
      </c>
      <c r="D17" s="63"/>
      <c r="E17" s="253">
        <f>+E10+C17</f>
        <v>0</v>
      </c>
      <c r="F17" s="247" t="s">
        <v>408</v>
      </c>
      <c r="G17" s="247"/>
      <c r="H17" s="1"/>
      <c r="I17" s="1"/>
      <c r="J17" s="1"/>
      <c r="K17" s="46">
        <f>K15-K16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9"/>
      <c r="B18" s="59" t="s">
        <v>409</v>
      </c>
      <c r="C18" s="68">
        <v>30784.97</v>
      </c>
      <c r="D18" s="63"/>
      <c r="E18" s="247"/>
      <c r="F18" s="247"/>
      <c r="G18" s="247"/>
      <c r="H18" s="1"/>
      <c r="I18" s="1"/>
      <c r="J18" s="1"/>
      <c r="K18" s="4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59"/>
      <c r="B19" s="59" t="s">
        <v>410</v>
      </c>
      <c r="C19" s="77">
        <v>-9429.58</v>
      </c>
      <c r="D19" s="78"/>
      <c r="E19" s="254">
        <f>+C18+C19</f>
        <v>21355.39</v>
      </c>
      <c r="F19" s="255">
        <f>+E12+C18+C19+C26</f>
        <v>93501.6</v>
      </c>
      <c r="G19" s="256" t="s">
        <v>411</v>
      </c>
      <c r="H19" s="1"/>
      <c r="I19" s="1"/>
      <c r="J19" s="154">
        <v>2020</v>
      </c>
      <c r="K19" s="4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9"/>
      <c r="B20" s="59" t="s">
        <v>412</v>
      </c>
      <c r="C20" s="81">
        <v>129383.65</v>
      </c>
      <c r="D20" s="82"/>
      <c r="E20" s="257">
        <f>+C20</f>
        <v>129383.65</v>
      </c>
      <c r="F20" s="258">
        <f>+E20</f>
        <v>129383.65</v>
      </c>
      <c r="G20" s="250"/>
      <c r="H20" s="1"/>
      <c r="I20" s="1"/>
      <c r="J20" s="148" t="s">
        <v>525</v>
      </c>
      <c r="K20" s="46">
        <v>70720.81</v>
      </c>
      <c r="L20" s="148" t="s">
        <v>526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9"/>
      <c r="B21" s="59" t="s">
        <v>412</v>
      </c>
      <c r="C21" s="68">
        <v>34310.04</v>
      </c>
      <c r="D21" s="63"/>
      <c r="E21" s="259">
        <v>34310.04</v>
      </c>
      <c r="F21" s="258"/>
      <c r="G21" s="250"/>
      <c r="H21" s="1"/>
      <c r="I21" s="1"/>
      <c r="J21" s="1"/>
      <c r="K21" s="46">
        <v>7022.4</v>
      </c>
      <c r="L21" s="5" t="s">
        <v>530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9"/>
      <c r="B22" s="59" t="s">
        <v>413</v>
      </c>
      <c r="C22" s="68">
        <v>-163693.69</v>
      </c>
      <c r="D22" s="68"/>
      <c r="E22" s="259">
        <v>-163693.69</v>
      </c>
      <c r="F22" s="258">
        <f>+E20+E21+E22</f>
        <v>0</v>
      </c>
      <c r="G22" s="250" t="s">
        <v>414</v>
      </c>
      <c r="H22" s="1"/>
      <c r="I22" s="2"/>
      <c r="J22" s="1"/>
      <c r="K22" s="46">
        <v>10500</v>
      </c>
      <c r="L22" s="5" t="s">
        <v>531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9"/>
      <c r="B23" s="59" t="s">
        <v>415</v>
      </c>
      <c r="C23" s="68">
        <v>18440.97</v>
      </c>
      <c r="D23" s="68"/>
      <c r="E23" s="259"/>
      <c r="F23" s="260">
        <f>+C23+C27</f>
        <v>38878.370000000003</v>
      </c>
      <c r="G23" s="251" t="s">
        <v>416</v>
      </c>
      <c r="H23" s="1"/>
      <c r="I23" s="1"/>
      <c r="J23" s="1"/>
      <c r="K23" s="46">
        <v>90694.29</v>
      </c>
      <c r="L23" s="5" t="s">
        <v>532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9"/>
      <c r="B24" s="59" t="s">
        <v>417</v>
      </c>
      <c r="C24" s="68">
        <v>573405.23</v>
      </c>
      <c r="D24" s="68"/>
      <c r="E24" s="259"/>
      <c r="F24" s="258"/>
      <c r="G24" s="250"/>
      <c r="H24" s="1"/>
      <c r="I24" s="1"/>
      <c r="J24" s="1"/>
      <c r="K24" s="46">
        <v>-84791.23</v>
      </c>
      <c r="L24" s="5" t="s">
        <v>557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9"/>
      <c r="B25" s="59" t="s">
        <v>418</v>
      </c>
      <c r="C25" s="68">
        <v>-584850</v>
      </c>
      <c r="D25" s="68"/>
      <c r="E25" s="259"/>
      <c r="F25" s="258"/>
      <c r="G25" s="250"/>
      <c r="H25" s="1"/>
      <c r="I25" s="1"/>
      <c r="J25" s="1"/>
      <c r="K25" s="46">
        <v>-70720.81</v>
      </c>
      <c r="L25" s="5" t="s">
        <v>558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9"/>
      <c r="B26" s="59" t="s">
        <v>419</v>
      </c>
      <c r="C26" s="68">
        <v>28146.21</v>
      </c>
      <c r="D26" s="68"/>
      <c r="E26" s="259"/>
      <c r="F26" s="258"/>
      <c r="G26" s="250"/>
      <c r="H26" s="1"/>
      <c r="I26" s="1"/>
      <c r="J26" s="1"/>
      <c r="K26" s="46">
        <v>-61129.2</v>
      </c>
      <c r="L26" s="5" t="s">
        <v>560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9"/>
      <c r="B27" s="59" t="s">
        <v>420</v>
      </c>
      <c r="C27" s="68">
        <v>20437.400000000001</v>
      </c>
      <c r="D27" s="68"/>
      <c r="E27" s="259"/>
      <c r="F27" s="258"/>
      <c r="G27" s="250"/>
      <c r="H27" s="1"/>
      <c r="I27" s="1"/>
      <c r="J27" s="1"/>
      <c r="K27" s="46">
        <v>-23629.88</v>
      </c>
      <c r="L27" s="5" t="s">
        <v>562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9"/>
      <c r="B28" s="59" t="s">
        <v>421</v>
      </c>
      <c r="C28" s="59">
        <v>392.32</v>
      </c>
      <c r="D28" s="59"/>
      <c r="E28" s="247"/>
      <c r="F28" s="260">
        <f>C28</f>
        <v>392.32</v>
      </c>
      <c r="G28" s="251" t="s">
        <v>45</v>
      </c>
      <c r="H28" s="1"/>
      <c r="I28" s="1"/>
      <c r="J28" s="1"/>
      <c r="K28" s="201">
        <f>SUM(K20:K27)</f>
        <v>-61333.619999999995</v>
      </c>
      <c r="L28" s="11" t="s">
        <v>601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9"/>
      <c r="B29" s="59"/>
      <c r="C29" s="59"/>
      <c r="D29" s="59"/>
      <c r="E29" s="247"/>
      <c r="F29" s="261">
        <f>+E14+F19+F23+F28</f>
        <v>132867.89000000001</v>
      </c>
      <c r="G29" s="262" t="s">
        <v>422</v>
      </c>
      <c r="H29" s="1"/>
      <c r="I29" s="1"/>
      <c r="J29" s="1"/>
      <c r="K29" s="4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" x14ac:dyDescent="0.2">
      <c r="A30" s="1"/>
      <c r="B30" s="1"/>
      <c r="C30" s="86"/>
      <c r="D30" s="2"/>
      <c r="E30" s="1" t="s">
        <v>423</v>
      </c>
      <c r="F30" s="12">
        <v>132867.82</v>
      </c>
      <c r="G30" s="1"/>
      <c r="H30" s="1"/>
      <c r="I30" s="1"/>
      <c r="J30" s="1"/>
      <c r="K30" s="201">
        <f>+K15+K28</f>
        <v>200755.5</v>
      </c>
      <c r="L30" s="11" t="s">
        <v>548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86"/>
      <c r="D31" s="2"/>
      <c r="E31" s="1"/>
      <c r="F31" s="2">
        <f>F29-F30</f>
        <v>7.0000000006984919E-2</v>
      </c>
      <c r="G31" s="1"/>
      <c r="H31" s="1"/>
      <c r="I31" s="1"/>
      <c r="J31" s="1"/>
      <c r="K31" s="46">
        <v>200755.5</v>
      </c>
      <c r="L31" s="5" t="s">
        <v>143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86"/>
      <c r="D32" s="2"/>
      <c r="E32" s="1"/>
      <c r="F32" s="1"/>
      <c r="G32" s="1"/>
      <c r="H32" s="1"/>
      <c r="I32" s="1"/>
      <c r="J32" s="87"/>
      <c r="K32" s="46">
        <f>+K30-K31</f>
        <v>0</v>
      </c>
      <c r="L32" s="5" t="s">
        <v>132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52">
        <v>2020</v>
      </c>
      <c r="C33" s="7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49" t="s">
        <v>522</v>
      </c>
      <c r="C34" s="150">
        <v>-7136.05</v>
      </c>
      <c r="D34" s="150"/>
      <c r="E34" s="151"/>
      <c r="F34" s="263">
        <f>+F23+C34+C39</f>
        <v>198601.08000000002</v>
      </c>
      <c r="G34" s="264" t="s">
        <v>555</v>
      </c>
      <c r="H34" s="265"/>
      <c r="I34" s="1"/>
      <c r="J34" s="1"/>
      <c r="K34" s="240">
        <f>+L7+K23+K24</f>
        <v>183233.10000000003</v>
      </c>
      <c r="L34" s="5" t="s">
        <v>642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51" t="s">
        <v>523</v>
      </c>
      <c r="C35" s="150">
        <v>-392.32</v>
      </c>
      <c r="D35" s="150"/>
      <c r="E35" s="151"/>
      <c r="F35" s="153">
        <f>+F28+C35</f>
        <v>0</v>
      </c>
      <c r="G35" s="151" t="s">
        <v>524</v>
      </c>
      <c r="H35" s="1"/>
      <c r="I35" s="1"/>
      <c r="J35" s="1"/>
      <c r="K35" s="46">
        <f>+K22</f>
        <v>10500</v>
      </c>
      <c r="L35" s="5" t="s">
        <v>643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51" t="s">
        <v>527</v>
      </c>
      <c r="C36" s="150">
        <v>-42343.56</v>
      </c>
      <c r="D36" s="150"/>
      <c r="E36" s="151"/>
      <c r="F36" s="263">
        <f>+F19+C36+C41</f>
        <v>191559.09</v>
      </c>
      <c r="G36" s="264" t="s">
        <v>554</v>
      </c>
      <c r="H36" s="265"/>
      <c r="I36" s="1"/>
      <c r="J36" s="1"/>
      <c r="K36" s="46">
        <f>+K21</f>
        <v>7022.4</v>
      </c>
      <c r="L36" s="5" t="s">
        <v>644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51" t="s">
        <v>549</v>
      </c>
      <c r="C37" s="156">
        <v>25051.99</v>
      </c>
      <c r="D37" s="150"/>
      <c r="E37" s="151"/>
      <c r="F37" s="263">
        <f>+C40</f>
        <v>126990.71</v>
      </c>
      <c r="G37" s="264" t="s">
        <v>556</v>
      </c>
      <c r="H37" s="2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51" t="s">
        <v>550</v>
      </c>
      <c r="C38" s="156">
        <v>-25051.99</v>
      </c>
      <c r="D38" s="150"/>
      <c r="E38" s="151"/>
      <c r="F38" s="157"/>
      <c r="G38" s="151"/>
      <c r="H38" s="1"/>
      <c r="I38" s="1"/>
      <c r="J38" s="11">
        <v>2021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51" t="s">
        <v>551</v>
      </c>
      <c r="C39" s="156">
        <v>166858.76</v>
      </c>
      <c r="D39" s="150"/>
      <c r="E39" s="151"/>
      <c r="F39" s="151"/>
      <c r="G39" s="151"/>
      <c r="H39" s="1"/>
      <c r="I39" s="1"/>
      <c r="J39" s="5" t="s">
        <v>678</v>
      </c>
      <c r="K39" s="240">
        <v>57014.52</v>
      </c>
      <c r="L39" s="287">
        <f>+K34+K39</f>
        <v>240247.62000000002</v>
      </c>
      <c r="M39" s="5" t="s">
        <v>679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51" t="s">
        <v>552</v>
      </c>
      <c r="C40" s="156">
        <v>126990.71</v>
      </c>
      <c r="D40" s="151"/>
      <c r="E40" s="151"/>
      <c r="F40" s="151"/>
      <c r="G40" s="151"/>
      <c r="H40" s="1"/>
      <c r="I40" s="1"/>
      <c r="J40" s="5" t="s">
        <v>686</v>
      </c>
      <c r="K40" s="240">
        <v>196656.25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51" t="s">
        <v>553</v>
      </c>
      <c r="C41" s="156">
        <v>140401.04999999999</v>
      </c>
      <c r="D41" s="151"/>
      <c r="E41" s="151"/>
      <c r="F41" s="151"/>
      <c r="G41" s="151"/>
      <c r="H41" s="1"/>
      <c r="I41" s="1"/>
      <c r="J41" s="5" t="s">
        <v>687</v>
      </c>
      <c r="K41" s="294">
        <v>-240247.62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64" t="s">
        <v>559</v>
      </c>
      <c r="C42" s="266">
        <v>8934.89</v>
      </c>
      <c r="D42" s="151"/>
      <c r="E42" s="151"/>
      <c r="F42" s="151"/>
      <c r="G42" s="151"/>
      <c r="H42" s="1"/>
      <c r="I42" s="1"/>
      <c r="J42" s="5" t="s">
        <v>708</v>
      </c>
      <c r="K42" s="294">
        <v>-7022.4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64" t="s">
        <v>561</v>
      </c>
      <c r="C43" s="266">
        <v>13628.82</v>
      </c>
      <c r="D43" s="151"/>
      <c r="E43" s="151"/>
      <c r="F43" s="151"/>
      <c r="G43" s="151"/>
      <c r="H43" s="1"/>
      <c r="I43" s="1"/>
      <c r="J43" s="5" t="s">
        <v>707</v>
      </c>
      <c r="K43" s="294">
        <v>-661.06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64" t="s">
        <v>563</v>
      </c>
      <c r="C44" s="266">
        <v>5218.42</v>
      </c>
      <c r="D44" s="151"/>
      <c r="E44" s="151"/>
      <c r="F44" s="151"/>
      <c r="G44" s="151"/>
      <c r="H44" s="1"/>
      <c r="I44" s="1"/>
      <c r="J44" s="5" t="s">
        <v>812</v>
      </c>
      <c r="K44" s="334">
        <v>20839.82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64" t="s">
        <v>600</v>
      </c>
      <c r="C45" s="267">
        <v>149049.51999999999</v>
      </c>
      <c r="D45" s="2"/>
      <c r="E45" s="11" t="s">
        <v>599</v>
      </c>
      <c r="F45" s="200">
        <f>+E14+F34+F36+F37+C42+C43+C44+C45+C46</f>
        <v>726055.46</v>
      </c>
      <c r="G45" s="1"/>
      <c r="H45" s="1"/>
      <c r="I45" s="1"/>
      <c r="J45" s="5" t="s">
        <v>808</v>
      </c>
      <c r="K45" s="334">
        <v>68648.570000000007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64" t="s">
        <v>606</v>
      </c>
      <c r="C46" s="267">
        <v>31977.33</v>
      </c>
      <c r="D46" s="2"/>
      <c r="E46" s="5" t="s">
        <v>143</v>
      </c>
      <c r="F46" s="156">
        <v>726055.39</v>
      </c>
      <c r="G46" s="1"/>
      <c r="H46" s="1"/>
      <c r="I46" s="1"/>
      <c r="J46" s="5" t="s">
        <v>809</v>
      </c>
      <c r="K46" s="294">
        <v>-51652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1" t="s">
        <v>601</v>
      </c>
      <c r="C47" s="199">
        <f>SUM(C34:C46)</f>
        <v>593187.56999999995</v>
      </c>
      <c r="D47" s="2"/>
      <c r="E47" s="5" t="s">
        <v>602</v>
      </c>
      <c r="F47" s="168">
        <f>+F45-F46</f>
        <v>6.9999999948777258E-2</v>
      </c>
      <c r="G47" s="1"/>
      <c r="H47" s="1"/>
      <c r="I47" s="1"/>
      <c r="J47" s="5"/>
      <c r="K47" s="29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1"/>
      <c r="C48" s="199"/>
      <c r="D48" s="2"/>
      <c r="E48" s="5"/>
      <c r="F48" s="168"/>
      <c r="G48" s="1"/>
      <c r="H48" s="1"/>
      <c r="I48" s="1"/>
      <c r="J48" s="1"/>
      <c r="K48" s="295">
        <f>+K30+K39+K40+K41+K42+K43+K44+K45+K46+K47</f>
        <v>244331.58000000007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D49" s="2"/>
      <c r="E49" s="1"/>
      <c r="F49" s="1"/>
      <c r="G49" s="1"/>
      <c r="H49" s="1"/>
      <c r="I49" s="1"/>
      <c r="J49" s="1"/>
      <c r="K49" s="295">
        <v>244331.58300000001</v>
      </c>
      <c r="L49" s="5" t="s">
        <v>32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2"/>
      <c r="E50" s="1"/>
      <c r="F50" s="1"/>
      <c r="G50" s="1"/>
      <c r="H50" s="1"/>
      <c r="I50" s="1"/>
      <c r="J50" s="1"/>
      <c r="K50" s="240">
        <f>+K48-K49</f>
        <v>-2.9999999387655407E-3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1">
        <v>2021</v>
      </c>
      <c r="C51" s="1"/>
      <c r="D51" s="493" t="s">
        <v>677</v>
      </c>
      <c r="E51" s="489"/>
      <c r="F51" s="1"/>
      <c r="G51" s="1"/>
      <c r="H51" s="1"/>
      <c r="I51" s="1"/>
      <c r="J51" s="1"/>
      <c r="K51" s="240">
        <f>+K34+K39+K41</f>
        <v>0</v>
      </c>
      <c r="L51" s="5" t="s">
        <v>692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5"/>
      <c r="C52" s="296"/>
      <c r="D52" s="488" t="s">
        <v>49</v>
      </c>
      <c r="E52" s="490">
        <f>+F34+C59</f>
        <v>0</v>
      </c>
      <c r="F52" s="1"/>
      <c r="G52" s="1"/>
      <c r="H52" s="1"/>
      <c r="I52" s="1"/>
      <c r="J52" s="1"/>
      <c r="K52" s="240">
        <f>+K35+K61+K65</f>
        <v>0</v>
      </c>
      <c r="L52" s="5" t="s">
        <v>643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5" t="s">
        <v>698</v>
      </c>
      <c r="C53" s="296">
        <v>-8934.89</v>
      </c>
      <c r="D53" s="488" t="s">
        <v>294</v>
      </c>
      <c r="E53" s="491">
        <f>+F36+C65</f>
        <v>0</v>
      </c>
      <c r="F53" s="1"/>
      <c r="G53" s="1"/>
      <c r="H53" s="1"/>
      <c r="I53" s="1"/>
      <c r="J53" s="1"/>
      <c r="K53" s="46">
        <f>+K36+K42</f>
        <v>0</v>
      </c>
      <c r="L53" s="5" t="s">
        <v>644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5" t="s">
        <v>699</v>
      </c>
      <c r="C54" s="296">
        <f>-22923.74-4045.37</f>
        <v>-26969.11</v>
      </c>
      <c r="D54" s="488" t="s">
        <v>43</v>
      </c>
      <c r="E54" s="491">
        <f>+F37+C64</f>
        <v>0</v>
      </c>
      <c r="F54" s="1"/>
      <c r="G54" s="1"/>
      <c r="H54" s="1"/>
      <c r="I54" s="1"/>
      <c r="J54" s="1"/>
      <c r="K54" s="499">
        <f>+K40+K43</f>
        <v>195995.19</v>
      </c>
      <c r="L54" s="498" t="s">
        <v>693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5" t="s">
        <v>675</v>
      </c>
      <c r="C55" s="296">
        <v>98927.88</v>
      </c>
      <c r="D55" s="494" t="s">
        <v>45</v>
      </c>
      <c r="E55" s="495">
        <f>+C42+C52+C53+C87+C97+C99+C102</f>
        <v>-0.41000000000349246</v>
      </c>
      <c r="F55" s="1"/>
      <c r="G55" s="1"/>
      <c r="H55" s="1"/>
      <c r="I55" s="1"/>
      <c r="J55" s="1"/>
      <c r="K55" s="240">
        <f>+K44+K47+K63+K66</f>
        <v>0</v>
      </c>
      <c r="L55" s="5" t="s">
        <v>813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5" t="s">
        <v>700</v>
      </c>
      <c r="C56" s="296">
        <v>-88892.64</v>
      </c>
      <c r="D56" s="494" t="s">
        <v>46</v>
      </c>
      <c r="E56" s="496">
        <f>+C43+C55+C56+C67+C91+C98+C100</f>
        <v>24236.520000000011</v>
      </c>
      <c r="F56" s="1"/>
      <c r="G56" s="1"/>
      <c r="H56" s="1"/>
      <c r="I56" s="1"/>
      <c r="J56" s="1"/>
      <c r="K56" s="240">
        <f>+K45+K46+K64+K62</f>
        <v>0</v>
      </c>
      <c r="L56" s="5" t="s">
        <v>810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5" t="s">
        <v>676</v>
      </c>
      <c r="C57" s="296">
        <v>14364</v>
      </c>
      <c r="D57" s="494" t="s">
        <v>47</v>
      </c>
      <c r="E57" s="495">
        <f>+C44+C57+C58+C73+C88</f>
        <v>41479.79</v>
      </c>
      <c r="F57" s="1"/>
      <c r="G57" s="1"/>
      <c r="H57" s="1"/>
      <c r="I57" s="1"/>
      <c r="J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5" t="s">
        <v>701</v>
      </c>
      <c r="C58" s="296">
        <v>-40422.239999999998</v>
      </c>
      <c r="D58" s="494" t="s">
        <v>66</v>
      </c>
      <c r="E58" s="496">
        <f>+C45+C68+C86+C96</f>
        <v>0</v>
      </c>
      <c r="F58" s="1">
        <v>75475.64</v>
      </c>
      <c r="G58" s="1"/>
      <c r="H58" s="1"/>
      <c r="I58" s="1"/>
      <c r="J58" s="27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5" t="s">
        <v>696</v>
      </c>
      <c r="C59" s="296">
        <v>-198601.08</v>
      </c>
      <c r="D59" s="494" t="s">
        <v>41</v>
      </c>
      <c r="E59" s="495">
        <f>+C66+C71+E14+C83+C84</f>
        <v>4.9999999813735485E-2</v>
      </c>
      <c r="F59" s="1"/>
      <c r="G59" s="1"/>
      <c r="H59" s="1"/>
      <c r="I59" s="1"/>
      <c r="J59" s="11">
        <v>2022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5" t="s">
        <v>680</v>
      </c>
      <c r="C60" s="296">
        <v>13094.74</v>
      </c>
      <c r="D60" s="494" t="s">
        <v>611</v>
      </c>
      <c r="E60" s="495">
        <f>+C69+C80+C81</f>
        <v>0</v>
      </c>
      <c r="F60" s="1">
        <v>28089.599999999999</v>
      </c>
      <c r="G60" s="87">
        <f>+F60-E60</f>
        <v>28089.599999999999</v>
      </c>
      <c r="H60" s="1"/>
      <c r="I60" s="1"/>
      <c r="J60" s="5"/>
      <c r="K60" s="240"/>
      <c r="L60" s="28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5" t="s">
        <v>702</v>
      </c>
      <c r="C61" s="296">
        <f>-18102.96</f>
        <v>-18102.96</v>
      </c>
      <c r="D61" s="494" t="s">
        <v>122</v>
      </c>
      <c r="E61" s="495">
        <f>+C46+C54+C60+C61+C62+C63+C72+C79+C82+C85+C89</f>
        <v>204709.96999999997</v>
      </c>
      <c r="F61" s="1"/>
      <c r="G61" s="1"/>
      <c r="H61" s="1"/>
      <c r="I61" s="1"/>
      <c r="J61" s="5" t="s">
        <v>855</v>
      </c>
      <c r="K61" s="240">
        <f>2397.54+7500</f>
        <v>9897.5400000000009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5" t="s">
        <v>685</v>
      </c>
      <c r="C62" s="296">
        <v>3194.64</v>
      </c>
      <c r="D62" s="494" t="s">
        <v>614</v>
      </c>
      <c r="E62" s="495">
        <f>+C70+C78+C90</f>
        <v>7500</v>
      </c>
      <c r="F62" s="1"/>
      <c r="G62" s="1"/>
      <c r="H62" s="1"/>
      <c r="I62" s="1"/>
      <c r="J62" s="5" t="s">
        <v>857</v>
      </c>
      <c r="K62" s="334">
        <v>47167.94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5" t="s">
        <v>703</v>
      </c>
      <c r="C63" s="296">
        <v>-3194.64</v>
      </c>
      <c r="D63" s="488"/>
      <c r="E63" s="492">
        <f>SUM(E52:E62)</f>
        <v>277925.91999999981</v>
      </c>
      <c r="F63" s="1"/>
      <c r="G63" s="1"/>
      <c r="H63" s="1"/>
      <c r="I63" s="1"/>
      <c r="J63" s="5" t="s">
        <v>861</v>
      </c>
      <c r="K63" s="334">
        <v>6628.91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5" t="s">
        <v>704</v>
      </c>
      <c r="C64" s="297">
        <v>-126990.71</v>
      </c>
      <c r="D64" s="288"/>
      <c r="E64" s="1"/>
      <c r="F64" s="1"/>
      <c r="G64" s="1"/>
      <c r="H64" s="1"/>
      <c r="I64" s="1"/>
      <c r="J64" s="5" t="s">
        <v>872</v>
      </c>
      <c r="K64" s="294">
        <v>-64164.51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5" t="s">
        <v>780</v>
      </c>
      <c r="C65" s="297">
        <f>-191459.57-99.52</f>
        <v>-191559.09</v>
      </c>
      <c r="D65" s="288"/>
      <c r="E65" s="1"/>
      <c r="F65" s="1"/>
      <c r="G65" s="1"/>
      <c r="H65" s="1"/>
      <c r="I65" s="1"/>
      <c r="J65" s="5" t="s">
        <v>876</v>
      </c>
      <c r="K65" s="294">
        <v>-20397.54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5" t="s">
        <v>697</v>
      </c>
      <c r="C66" s="296">
        <v>171609.74</v>
      </c>
      <c r="D66" s="288"/>
      <c r="E66" s="168">
        <f>+E63-F71</f>
        <v>-470826.02000000014</v>
      </c>
      <c r="F66" s="1"/>
      <c r="G66" s="1"/>
      <c r="H66" s="1"/>
      <c r="I66" s="1"/>
      <c r="J66" s="5" t="s">
        <v>877</v>
      </c>
      <c r="K66" s="294">
        <v>-27468.73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5" t="s">
        <v>705</v>
      </c>
      <c r="C67" s="296">
        <v>-13079.01</v>
      </c>
      <c r="D67" s="2"/>
      <c r="E67" s="1"/>
      <c r="F67" s="1"/>
      <c r="G67" s="1"/>
      <c r="H67" s="1"/>
      <c r="I67" s="1"/>
      <c r="J67" s="5" t="s">
        <v>885</v>
      </c>
      <c r="K67" s="294">
        <v>-10313.43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5" t="s">
        <v>694</v>
      </c>
      <c r="C68" s="296">
        <v>24134.66</v>
      </c>
      <c r="D68" s="2"/>
      <c r="E68" s="1"/>
      <c r="F68" s="1"/>
      <c r="G68" s="1"/>
      <c r="H68" s="1"/>
      <c r="I68" s="1"/>
      <c r="J68" s="5"/>
      <c r="K68" s="497">
        <f>SUM(K61:K67)</f>
        <v>-58649.82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5" t="s">
        <v>695</v>
      </c>
      <c r="C69" s="296">
        <v>26493.599999999999</v>
      </c>
      <c r="D69" s="2"/>
      <c r="E69" s="1"/>
      <c r="F69" s="1"/>
      <c r="G69" s="1"/>
      <c r="H69" s="1"/>
      <c r="I69" s="1"/>
      <c r="J69" s="1"/>
      <c r="K69" s="589">
        <f>+K48+K68</f>
        <v>185681.76000000007</v>
      </c>
      <c r="L69" s="295" t="s">
        <v>755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5" t="s">
        <v>711</v>
      </c>
      <c r="C70" s="296">
        <v>2102.46</v>
      </c>
      <c r="D70" s="2"/>
      <c r="E70" s="1"/>
      <c r="F70" s="1"/>
      <c r="G70" s="5" t="s">
        <v>677</v>
      </c>
      <c r="H70" s="1"/>
      <c r="I70" s="1"/>
      <c r="J70" s="5" t="s">
        <v>929</v>
      </c>
      <c r="K70" s="240">
        <v>120900</v>
      </c>
      <c r="L70" s="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5" t="s">
        <v>712</v>
      </c>
      <c r="C71" s="296">
        <v>206934.59</v>
      </c>
      <c r="D71" s="2"/>
      <c r="E71" s="11" t="s">
        <v>706</v>
      </c>
      <c r="F71" s="299">
        <f>+F45+C75</f>
        <v>748751.94</v>
      </c>
      <c r="G71" s="87">
        <f>+E52+E53+E54+E55+E56+E57+E58+E59+E60+E61+E62</f>
        <v>277925.91999999981</v>
      </c>
      <c r="H71" s="1"/>
      <c r="I71" s="1"/>
      <c r="J71" s="644">
        <v>2023</v>
      </c>
      <c r="K71" s="295">
        <f>SUM(K69:K70)</f>
        <v>306581.76000000007</v>
      </c>
      <c r="L71" s="5" t="s">
        <v>878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5" t="s">
        <v>713</v>
      </c>
      <c r="C72" s="296">
        <v>157746.72</v>
      </c>
      <c r="D72" s="2"/>
      <c r="E72" s="5" t="s">
        <v>143</v>
      </c>
      <c r="F72" s="300">
        <v>748751.87</v>
      </c>
      <c r="G72" s="1"/>
      <c r="H72" s="1"/>
      <c r="I72" s="1"/>
      <c r="J72" s="5" t="s">
        <v>954</v>
      </c>
      <c r="K72" s="240">
        <v>120825</v>
      </c>
      <c r="L72" s="5"/>
      <c r="M72" s="11" t="s">
        <v>957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5" t="s">
        <v>811</v>
      </c>
      <c r="C73" s="296">
        <v>20839.82</v>
      </c>
      <c r="D73" s="2"/>
      <c r="E73" s="5" t="s">
        <v>132</v>
      </c>
      <c r="F73" s="300">
        <f>+F71-F72</f>
        <v>6.9999999948777258E-2</v>
      </c>
      <c r="G73" s="1"/>
      <c r="H73" s="1"/>
      <c r="I73" s="1"/>
      <c r="J73" s="5" t="s">
        <v>955</v>
      </c>
      <c r="K73" s="240">
        <v>128527.78</v>
      </c>
      <c r="L73" s="5"/>
      <c r="M73" s="5" t="s">
        <v>755</v>
      </c>
      <c r="N73" s="46">
        <f>+K69+K73+K75+K77+K78</f>
        <v>332591.62000000005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5"/>
      <c r="C74" s="296"/>
      <c r="D74" s="2"/>
      <c r="E74" s="5"/>
      <c r="F74" s="300"/>
      <c r="G74" s="1"/>
      <c r="H74" s="1"/>
      <c r="I74" s="1"/>
      <c r="J74" s="5" t="s">
        <v>984</v>
      </c>
      <c r="K74" s="46">
        <v>18900</v>
      </c>
      <c r="L74" s="5"/>
      <c r="M74" s="5" t="s">
        <v>958</v>
      </c>
      <c r="N74" s="46">
        <f>+K72+K76</f>
        <v>112506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301">
        <f>SUM(C52:C74)</f>
        <v>22696.479999999974</v>
      </c>
      <c r="D75" s="2"/>
      <c r="E75" s="1"/>
      <c r="F75" s="300"/>
      <c r="G75" s="1"/>
      <c r="H75" s="1"/>
      <c r="I75" s="1"/>
      <c r="J75" s="5" t="s">
        <v>959</v>
      </c>
      <c r="K75" s="294">
        <v>-37644</v>
      </c>
      <c r="L75" s="5"/>
      <c r="M75" s="5" t="s">
        <v>985</v>
      </c>
      <c r="N75" s="46">
        <f>+K74</f>
        <v>18900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96"/>
      <c r="D76" s="10"/>
      <c r="E76" s="1"/>
      <c r="F76" s="1"/>
      <c r="G76" s="1"/>
      <c r="H76" s="1"/>
      <c r="I76" s="1"/>
      <c r="J76" s="5" t="s">
        <v>956</v>
      </c>
      <c r="K76" s="294">
        <v>-8319</v>
      </c>
      <c r="L76" s="1"/>
      <c r="M76" s="5"/>
      <c r="N76" s="24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1">
        <v>2022</v>
      </c>
      <c r="C77" s="296"/>
      <c r="D77" s="288"/>
      <c r="E77" s="87"/>
      <c r="F77" s="1"/>
      <c r="G77" s="1"/>
      <c r="H77" s="1"/>
      <c r="I77" s="1"/>
      <c r="J77" s="5" t="s">
        <v>961</v>
      </c>
      <c r="K77" s="240">
        <v>65552.08</v>
      </c>
      <c r="M77" s="1"/>
      <c r="N77" s="201">
        <f>SUM(N73:N76)</f>
        <v>463997.62000000005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5" t="s">
        <v>855</v>
      </c>
      <c r="C78" s="296">
        <v>-2102.46</v>
      </c>
      <c r="D78" s="288"/>
      <c r="E78" s="298"/>
      <c r="F78" s="1"/>
      <c r="G78" s="1"/>
      <c r="H78" s="1"/>
      <c r="I78" s="1"/>
      <c r="J78" s="5" t="s">
        <v>981</v>
      </c>
      <c r="K78" s="294">
        <v>-9526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5" t="s">
        <v>856</v>
      </c>
      <c r="C79" s="296">
        <v>-30419.63</v>
      </c>
      <c r="D79" s="288"/>
      <c r="E79" s="298"/>
      <c r="F79" s="1"/>
      <c r="G79" s="1"/>
      <c r="H79" s="1"/>
      <c r="I79" s="1"/>
      <c r="J79" s="5" t="s">
        <v>982</v>
      </c>
      <c r="K79" s="294">
        <v>-120900</v>
      </c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5" t="s">
        <v>858</v>
      </c>
      <c r="C80" s="296">
        <v>1596</v>
      </c>
      <c r="D80" s="288"/>
      <c r="E80" s="87"/>
      <c r="F80" s="1"/>
      <c r="G80" s="1"/>
      <c r="H80" s="1"/>
      <c r="I80" s="1"/>
      <c r="J80" s="1"/>
      <c r="K80" s="295">
        <f>SUM(K71:K79)</f>
        <v>463997.62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5" t="s">
        <v>859</v>
      </c>
      <c r="C81" s="296">
        <v>-28089.599999999999</v>
      </c>
      <c r="D81" s="288"/>
      <c r="E81" s="29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5" t="s">
        <v>860</v>
      </c>
      <c r="C82" s="296">
        <v>-5368.17</v>
      </c>
      <c r="D82" s="288"/>
      <c r="E82" s="87"/>
      <c r="F82" s="1"/>
      <c r="G82" s="1"/>
      <c r="H82" s="1"/>
      <c r="I82" s="17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5" t="s">
        <v>862</v>
      </c>
      <c r="C83" s="296">
        <f>104700.76+73193.9</f>
        <v>177894.65999999997</v>
      </c>
      <c r="D83" s="288"/>
      <c r="E83" s="298"/>
      <c r="F83" s="1"/>
      <c r="G83" s="1"/>
      <c r="H83" s="1"/>
      <c r="I83" s="17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5" t="s">
        <v>868</v>
      </c>
      <c r="C84" s="296">
        <v>-556534.54</v>
      </c>
      <c r="D84" s="288"/>
      <c r="E84" s="87"/>
      <c r="F84" s="1"/>
      <c r="G84" s="1"/>
      <c r="H84" s="1"/>
      <c r="I84" s="27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5" t="s">
        <v>856</v>
      </c>
      <c r="C85" s="296">
        <v>-24936.38</v>
      </c>
      <c r="D85" s="288"/>
      <c r="E85" s="11" t="s">
        <v>867</v>
      </c>
      <c r="F85" s="300">
        <f>+F72+C92</f>
        <v>699528.5</v>
      </c>
      <c r="G85" s="1"/>
      <c r="H85" s="1"/>
      <c r="I85" s="27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5" t="s">
        <v>869</v>
      </c>
      <c r="C86" s="296">
        <f>75475.64+1990.18</f>
        <v>77465.819999999992</v>
      </c>
      <c r="D86" s="288"/>
      <c r="E86" s="298" t="s">
        <v>32</v>
      </c>
      <c r="F86" s="300">
        <v>699527.96</v>
      </c>
      <c r="G86" s="1"/>
      <c r="H86" s="1"/>
      <c r="I86" s="27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5" t="s">
        <v>871</v>
      </c>
      <c r="C87" s="296">
        <v>131412.71</v>
      </c>
      <c r="D87" s="2"/>
      <c r="E87" s="1"/>
      <c r="F87" s="168">
        <f>+F85-F86</f>
        <v>0.5400000000372529</v>
      </c>
      <c r="G87" s="1"/>
      <c r="H87" s="1"/>
      <c r="I87" s="27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5" t="s">
        <v>873</v>
      </c>
      <c r="C88" s="296">
        <v>41479.79</v>
      </c>
      <c r="D88" s="2"/>
      <c r="E88" s="1"/>
      <c r="F88" s="1"/>
      <c r="G88" s="1"/>
      <c r="H88" s="1"/>
      <c r="I88" s="27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5" t="s">
        <v>874</v>
      </c>
      <c r="C89" s="296">
        <v>107687.43</v>
      </c>
      <c r="D89" s="2"/>
      <c r="E89" s="1"/>
      <c r="F89" s="1"/>
      <c r="G89" s="1"/>
      <c r="H89" s="1"/>
      <c r="I89" s="27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5" t="s">
        <v>875</v>
      </c>
      <c r="C90" s="296">
        <f>27897.54-20397.54</f>
        <v>7500</v>
      </c>
      <c r="D90" s="2"/>
      <c r="E90" s="1"/>
      <c r="F90" s="1"/>
      <c r="G90" s="1"/>
      <c r="H90" s="1"/>
      <c r="I90" s="34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5" t="s">
        <v>886</v>
      </c>
      <c r="C91" s="296">
        <v>53191</v>
      </c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305">
        <f>SUM(C78:C91)</f>
        <v>-49223.370000000054</v>
      </c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1">
        <v>2023</v>
      </c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5" t="s">
        <v>870</v>
      </c>
      <c r="C96" s="296">
        <v>-250650</v>
      </c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5" t="s">
        <v>857</v>
      </c>
      <c r="C97" s="296">
        <v>-64077.58</v>
      </c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5" t="s">
        <v>382</v>
      </c>
      <c r="C98" s="296">
        <v>-118934.63</v>
      </c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5" t="s">
        <v>857</v>
      </c>
      <c r="C99" s="296">
        <v>-66844.539999999994</v>
      </c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5" t="s">
        <v>960</v>
      </c>
      <c r="C100" s="296">
        <v>79395.100000000006</v>
      </c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5" t="s">
        <v>955</v>
      </c>
      <c r="C101" s="296">
        <v>65552.08</v>
      </c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5" t="s">
        <v>979</v>
      </c>
      <c r="C102" s="296">
        <v>-491</v>
      </c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5" t="s">
        <v>980</v>
      </c>
      <c r="C103" s="296">
        <v>-65552.08</v>
      </c>
      <c r="D103" s="2"/>
      <c r="E103" s="5" t="s">
        <v>962</v>
      </c>
      <c r="F103" s="168">
        <f>+F85+C104</f>
        <v>277925.84999999998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305">
        <f>SUM(C96:C103)</f>
        <v>-421602.65</v>
      </c>
      <c r="D104" s="2"/>
      <c r="E104" s="5" t="s">
        <v>143</v>
      </c>
      <c r="F104" s="168">
        <v>277925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1"/>
      <c r="F105" s="645">
        <f>+F103-F104</f>
        <v>0.84999999997671694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</sheetData>
  <conditionalFormatting sqref="E30">
    <cfRule type="containsBlanks" dxfId="0" priority="1">
      <formula>LEN(TRIM(E30))=0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dettagli crediti IRES e IRAP</vt:lpstr>
      <vt:lpstr>dettagli SP - debiti</vt:lpstr>
      <vt:lpstr>Tabellari-NUOVI-COSTIREALI</vt:lpstr>
      <vt:lpstr>ORDINARIO 2023</vt:lpstr>
      <vt:lpstr>conti relazione au</vt:lpstr>
      <vt:lpstr>RICLASSIFIC. CIVILIST.</vt:lpstr>
      <vt:lpstr>RICLASSIFIC. CIVILIST. (2)</vt:lpstr>
      <vt:lpstr>INVESTIMENTI </vt:lpstr>
      <vt:lpstr>PERSONALE-MEF </vt:lpstr>
      <vt:lpstr>Dettagli NI</vt:lpstr>
      <vt:lpstr>Dettaglio FONDI</vt:lpstr>
      <vt:lpstr>Dettaglio Risconti</vt:lpstr>
      <vt:lpstr>Straordinario_2023</vt:lpstr>
      <vt:lpstr>Dettaglio contributi c-capitale</vt:lpstr>
      <vt:lpstr>Attività c-terzi</vt:lpstr>
      <vt:lpstr>STRAORDINARIO dettaglio</vt:lpstr>
      <vt:lpstr>Dettaglio crediti</vt:lpstr>
      <vt:lpstr>Dett. progetti EU -CRED-DEB-RIC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CateCrespo</dc:creator>
  <cp:lastModifiedBy>Microsoft Office User</cp:lastModifiedBy>
  <dcterms:created xsi:type="dcterms:W3CDTF">2021-02-02T08:41:20Z</dcterms:created>
  <dcterms:modified xsi:type="dcterms:W3CDTF">2024-10-09T10:33:35Z</dcterms:modified>
</cp:coreProperties>
</file>